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E:\Jose Castillo Files\Transparency\Transparency FYE 2022\"/>
    </mc:Choice>
  </mc:AlternateContent>
  <xr:revisionPtr revIDLastSave="0" documentId="13_ncr:1_{ACEB1AE5-4631-461D-84FF-E02773C655E4}" xr6:coauthVersionLast="47" xr6:coauthVersionMax="47" xr10:uidLastSave="{00000000-0000-0000-0000-000000000000}"/>
  <bookViews>
    <workbookView xWindow="-120" yWindow="-120" windowWidth="29040" windowHeight="15720" tabRatio="835" xr2:uid="{00000000-000D-0000-FFFF-FFFF00000000}"/>
  </bookViews>
  <sheets>
    <sheet name="Aggregate" sheetId="2" r:id="rId1"/>
    <sheet name="Aggregate History" sheetId="9" r:id="rId2"/>
    <sheet name="FY 2022 Bonds " sheetId="17" r:id="rId3"/>
    <sheet name="Rev Debt" sheetId="5" r:id="rId4"/>
    <sheet name="Rev Debt - Maturity" sheetId="6" r:id="rId5"/>
    <sheet name="Rev Debt - Proceeds" sheetId="7" r:id="rId6"/>
    <sheet name="Outstanding debt" sheetId="13" r:id="rId7"/>
    <sheet name="CPI Index Data" sheetId="12" r:id="rId8"/>
  </sheets>
  <definedNames>
    <definedName name="_xlnm.Print_Area" localSheetId="0">Aggregate!$A$1:$F$45</definedName>
    <definedName name="_xlnm.Print_Area" localSheetId="1">'Aggregate History'!$B$1:$L$18</definedName>
    <definedName name="_xlnm.Print_Area" localSheetId="7">'CPI Index Data'!$A$1:$F$28</definedName>
    <definedName name="_xlnm.Print_Area" localSheetId="2">'FY 2022 Bonds '!$A$1:$AJ$62</definedName>
    <definedName name="_xlnm.Print_Area" localSheetId="3">'Rev Debt'!$A$1:$S$57</definedName>
    <definedName name="_xlnm.Print_Area" localSheetId="4">'Rev Debt - Maturity'!$B$1:$I$327</definedName>
    <definedName name="_xlnm.Print_Area" localSheetId="5">'Rev Debt - Proceeds'!$A$1:$G$25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12" l="1"/>
  <c r="E4" i="12"/>
  <c r="E3" i="12"/>
  <c r="E2" i="12"/>
  <c r="G16" i="7"/>
  <c r="G11" i="7"/>
  <c r="G9" i="7"/>
  <c r="E8" i="5"/>
  <c r="M42" i="5"/>
  <c r="S37" i="5"/>
  <c r="S36" i="5"/>
  <c r="P42" i="5"/>
  <c r="S35" i="5"/>
  <c r="S8" i="5"/>
  <c r="J8" i="5"/>
  <c r="U60" i="17"/>
  <c r="U59" i="17"/>
  <c r="U58" i="17"/>
  <c r="U57" i="17"/>
  <c r="U56" i="17"/>
  <c r="U55" i="17"/>
  <c r="O60" i="17"/>
  <c r="O59" i="17"/>
  <c r="K60" i="17"/>
  <c r="M60" i="17" s="1"/>
  <c r="K59" i="17"/>
  <c r="K58" i="17"/>
  <c r="K57" i="17"/>
  <c r="K56" i="17"/>
  <c r="K55" i="17"/>
  <c r="I60" i="17"/>
  <c r="I59" i="17"/>
  <c r="I58" i="17"/>
  <c r="I57" i="17"/>
  <c r="I56" i="17"/>
  <c r="I55" i="17"/>
  <c r="E60" i="17"/>
  <c r="E59" i="17"/>
  <c r="E58" i="17"/>
  <c r="E57" i="17"/>
  <c r="E56" i="17"/>
  <c r="E55" i="17"/>
  <c r="C60" i="17"/>
  <c r="C59" i="17"/>
  <c r="C58" i="17"/>
  <c r="C57" i="17"/>
  <c r="C56" i="17"/>
  <c r="C55" i="17"/>
  <c r="AA41" i="17"/>
  <c r="Y41" i="17"/>
  <c r="AA40" i="17"/>
  <c r="Y40" i="17"/>
  <c r="AA39" i="17"/>
  <c r="Y39" i="17"/>
  <c r="AA38" i="17"/>
  <c r="Y38" i="17"/>
  <c r="AA37" i="17"/>
  <c r="Y37" i="17"/>
  <c r="AA36" i="17"/>
  <c r="Y36" i="17"/>
  <c r="AA35" i="17"/>
  <c r="Y35" i="17"/>
  <c r="AA34" i="17"/>
  <c r="Y34" i="17"/>
  <c r="AA33" i="17"/>
  <c r="Y33" i="17"/>
  <c r="AA32" i="17"/>
  <c r="Y32" i="17"/>
  <c r="AA31" i="17"/>
  <c r="Y31" i="17"/>
  <c r="AA30" i="17"/>
  <c r="Y30" i="17"/>
  <c r="AA29" i="17"/>
  <c r="Y29" i="17"/>
  <c r="AA28" i="17"/>
  <c r="Y28" i="17"/>
  <c r="AA27" i="17"/>
  <c r="Y27" i="17"/>
  <c r="Y26" i="17"/>
  <c r="U26" i="17"/>
  <c r="Q26" i="17"/>
  <c r="Y25" i="17"/>
  <c r="U25" i="17"/>
  <c r="Q25" i="17"/>
  <c r="Y24" i="17"/>
  <c r="U24" i="17"/>
  <c r="AC57" i="17" s="1"/>
  <c r="Q24" i="17"/>
  <c r="AA24" i="17" s="1"/>
  <c r="Y23" i="17"/>
  <c r="U23" i="17"/>
  <c r="Q23" i="17"/>
  <c r="Y22" i="17"/>
  <c r="U22" i="17"/>
  <c r="Q22" i="17"/>
  <c r="AA22" i="17" s="1"/>
  <c r="Y21" i="17"/>
  <c r="U21" i="17"/>
  <c r="Q21" i="17"/>
  <c r="AA21" i="17" s="1"/>
  <c r="Y20" i="17"/>
  <c r="U20" i="17"/>
  <c r="Q20" i="17"/>
  <c r="Y19" i="17"/>
  <c r="U19" i="17"/>
  <c r="Q19" i="17"/>
  <c r="Y18" i="17"/>
  <c r="U18" i="17"/>
  <c r="Q18" i="17"/>
  <c r="Y17" i="17"/>
  <c r="U17" i="17"/>
  <c r="Q17" i="17"/>
  <c r="AA17" i="17" s="1"/>
  <c r="AA16" i="17"/>
  <c r="Y16" i="17"/>
  <c r="U16" i="17"/>
  <c r="Q16" i="17"/>
  <c r="Y15" i="17"/>
  <c r="U15" i="17"/>
  <c r="Q15" i="17"/>
  <c r="AA15" i="17" s="1"/>
  <c r="Y14" i="17"/>
  <c r="U14" i="17"/>
  <c r="Q14" i="17"/>
  <c r="Y13" i="17"/>
  <c r="U13" i="17"/>
  <c r="AC55" i="17" s="1"/>
  <c r="AE55" i="17" s="1"/>
  <c r="Q13" i="17"/>
  <c r="AA13" i="17" s="1"/>
  <c r="Y12" i="17"/>
  <c r="U12" i="17"/>
  <c r="Q12" i="17"/>
  <c r="W54" i="17" s="1"/>
  <c r="Y11" i="17"/>
  <c r="U11" i="17"/>
  <c r="Q11" i="17"/>
  <c r="AA11" i="17" s="1"/>
  <c r="Y10" i="17"/>
  <c r="U10" i="17"/>
  <c r="AC52" i="17" s="1"/>
  <c r="Q10" i="17"/>
  <c r="Y9" i="17"/>
  <c r="U9" i="17"/>
  <c r="AC51" i="17" s="1"/>
  <c r="Q9" i="17"/>
  <c r="Y8" i="17"/>
  <c r="U8" i="17"/>
  <c r="AA8" i="17" s="1"/>
  <c r="Q8" i="17"/>
  <c r="AC50" i="17"/>
  <c r="C44" i="17"/>
  <c r="E44" i="17"/>
  <c r="G44" i="17"/>
  <c r="I44" i="17"/>
  <c r="K44" i="17"/>
  <c r="M44" i="17"/>
  <c r="O44" i="17"/>
  <c r="S44" i="17"/>
  <c r="C50" i="17"/>
  <c r="E50" i="17"/>
  <c r="K50" i="17"/>
  <c r="M50" i="17" s="1"/>
  <c r="O50" i="17"/>
  <c r="S50" i="17" s="1"/>
  <c r="Q50" i="17"/>
  <c r="U50" i="17"/>
  <c r="AA50" i="17"/>
  <c r="C51" i="17"/>
  <c r="G51" i="17" s="1"/>
  <c r="E51" i="17"/>
  <c r="K51" i="17"/>
  <c r="M51" i="17" s="1"/>
  <c r="O51" i="17"/>
  <c r="Q51" i="17"/>
  <c r="U51" i="17"/>
  <c r="W51" i="17"/>
  <c r="AA51" i="17"/>
  <c r="C52" i="17"/>
  <c r="E52" i="17"/>
  <c r="K52" i="17"/>
  <c r="M52" i="17" s="1"/>
  <c r="O52" i="17"/>
  <c r="S52" i="17" s="1"/>
  <c r="Q52" i="17"/>
  <c r="U52" i="17"/>
  <c r="AA52" i="17"/>
  <c r="C53" i="17"/>
  <c r="E53" i="17"/>
  <c r="K53" i="17"/>
  <c r="M53" i="17" s="1"/>
  <c r="O53" i="17"/>
  <c r="Q53" i="17"/>
  <c r="U53" i="17"/>
  <c r="AA53" i="17"/>
  <c r="AC53" i="17"/>
  <c r="C54" i="17"/>
  <c r="E54" i="17"/>
  <c r="K54" i="17"/>
  <c r="M54" i="17" s="1"/>
  <c r="O54" i="17"/>
  <c r="Q54" i="17"/>
  <c r="U54" i="17"/>
  <c r="AA54" i="17"/>
  <c r="AC54" i="17"/>
  <c r="O55" i="17"/>
  <c r="S55" i="17" s="1"/>
  <c r="Q55" i="17"/>
  <c r="AA55" i="17"/>
  <c r="M56" i="17"/>
  <c r="O56" i="17"/>
  <c r="Q56" i="17"/>
  <c r="AA56" i="17"/>
  <c r="O57" i="17"/>
  <c r="Q57" i="17"/>
  <c r="AA57" i="17"/>
  <c r="O58" i="17"/>
  <c r="Q58" i="17"/>
  <c r="Y58" i="17"/>
  <c r="W58" i="17"/>
  <c r="AA58" i="17"/>
  <c r="AC58" i="17"/>
  <c r="Q59" i="17"/>
  <c r="W59" i="17"/>
  <c r="AA59" i="17"/>
  <c r="AE59" i="17" s="1"/>
  <c r="AC59" i="17"/>
  <c r="Y60" i="17"/>
  <c r="W60" i="17"/>
  <c r="AA60" i="17"/>
  <c r="AC60" i="17"/>
  <c r="AE60" i="17"/>
  <c r="AI60" i="17"/>
  <c r="M57" i="17" l="1"/>
  <c r="M55" i="17"/>
  <c r="G56" i="17"/>
  <c r="AG50" i="17"/>
  <c r="AA9" i="17"/>
  <c r="M58" i="17"/>
  <c r="AA10" i="17"/>
  <c r="AA25" i="17"/>
  <c r="AA14" i="17"/>
  <c r="AA18" i="17"/>
  <c r="AG53" i="17"/>
  <c r="Y51" i="17"/>
  <c r="AA26" i="17"/>
  <c r="S56" i="17"/>
  <c r="AE52" i="17"/>
  <c r="AC56" i="17"/>
  <c r="AE56" i="17" s="1"/>
  <c r="AA23" i="17"/>
  <c r="Y44" i="17"/>
  <c r="G54" i="17"/>
  <c r="AA20" i="17"/>
  <c r="Y59" i="17"/>
  <c r="G57" i="17"/>
  <c r="G55" i="17"/>
  <c r="U61" i="17"/>
  <c r="G52" i="17"/>
  <c r="AA19" i="17"/>
  <c r="AA12" i="17"/>
  <c r="G59" i="17"/>
  <c r="G58" i="17"/>
  <c r="AE53" i="17"/>
  <c r="AE58" i="17"/>
  <c r="S53" i="17"/>
  <c r="AG56" i="17"/>
  <c r="AE51" i="17"/>
  <c r="G53" i="17"/>
  <c r="G50" i="17"/>
  <c r="AG60" i="17"/>
  <c r="Y54" i="17"/>
  <c r="W52" i="17"/>
  <c r="Y52" i="17" s="1"/>
  <c r="AA44" i="17"/>
  <c r="W57" i="17"/>
  <c r="Y57" i="17" s="1"/>
  <c r="S59" i="17"/>
  <c r="S58" i="17"/>
  <c r="S57" i="17"/>
  <c r="AE54" i="17"/>
  <c r="M59" i="17"/>
  <c r="AI58" i="17"/>
  <c r="AG51" i="17"/>
  <c r="AG54" i="17"/>
  <c r="Q61" i="17"/>
  <c r="AI51" i="17"/>
  <c r="AG59" i="17"/>
  <c r="AI54" i="17"/>
  <c r="C61" i="17"/>
  <c r="AI57" i="17"/>
  <c r="AE57" i="17"/>
  <c r="AE50" i="17"/>
  <c r="AG58" i="17"/>
  <c r="S54" i="17"/>
  <c r="S51" i="17"/>
  <c r="AG55" i="17"/>
  <c r="AG52" i="17"/>
  <c r="O61" i="17"/>
  <c r="W56" i="17"/>
  <c r="Y56" i="17" s="1"/>
  <c r="W53" i="17"/>
  <c r="Y53" i="17" s="1"/>
  <c r="W50" i="17"/>
  <c r="U44" i="17"/>
  <c r="K61" i="17"/>
  <c r="Q44" i="17"/>
  <c r="I61" i="17"/>
  <c r="AG57" i="17"/>
  <c r="AI59" i="17"/>
  <c r="W55" i="17"/>
  <c r="Y55" i="17" s="1"/>
  <c r="E61" i="17"/>
  <c r="AA61" i="17"/>
  <c r="M61" i="17" l="1"/>
  <c r="AI52" i="17"/>
  <c r="AC61" i="17"/>
  <c r="G61" i="17"/>
  <c r="S61" i="17"/>
  <c r="AE61" i="17"/>
  <c r="AI56" i="17"/>
  <c r="AG61" i="17"/>
  <c r="W61" i="17"/>
  <c r="Y50" i="17"/>
  <c r="Y61" i="17" s="1"/>
  <c r="AI50" i="17"/>
  <c r="AI53" i="17"/>
  <c r="AI55" i="17"/>
  <c r="AI61" i="17" l="1"/>
  <c r="E42" i="2" l="1"/>
  <c r="C44" i="2"/>
  <c r="E41" i="2"/>
  <c r="E40" i="2"/>
  <c r="E39"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G242" i="6"/>
  <c r="G326" i="6"/>
  <c r="G318" i="6"/>
  <c r="G320" i="6"/>
  <c r="H320" i="6" s="1"/>
  <c r="I320" i="6" s="1"/>
  <c r="D322" i="6"/>
  <c r="H319" i="6"/>
  <c r="H318" i="6"/>
  <c r="H317" i="6"/>
  <c r="G316" i="6"/>
  <c r="H316" i="6" s="1"/>
  <c r="I316" i="6" s="1"/>
  <c r="H315" i="6"/>
  <c r="G314" i="6"/>
  <c r="H314" i="6" s="1"/>
  <c r="I314" i="6" s="1"/>
  <c r="H313" i="6"/>
  <c r="G312" i="6"/>
  <c r="H312" i="6" s="1"/>
  <c r="H311" i="6"/>
  <c r="G310" i="6"/>
  <c r="H310" i="6" s="1"/>
  <c r="I310" i="6" s="1"/>
  <c r="H309" i="6"/>
  <c r="G308" i="6"/>
  <c r="H308" i="6" s="1"/>
  <c r="H307" i="6"/>
  <c r="G306" i="6"/>
  <c r="H306" i="6" s="1"/>
  <c r="H305" i="6"/>
  <c r="G304" i="6"/>
  <c r="H304" i="6" s="1"/>
  <c r="I304" i="6" s="1"/>
  <c r="H303" i="6"/>
  <c r="G302" i="6"/>
  <c r="H302" i="6" s="1"/>
  <c r="I302" i="6" s="1"/>
  <c r="H301" i="6"/>
  <c r="G300" i="6"/>
  <c r="H300" i="6" s="1"/>
  <c r="H299" i="6"/>
  <c r="G298" i="6"/>
  <c r="H298" i="6" s="1"/>
  <c r="I298" i="6" s="1"/>
  <c r="H297" i="6"/>
  <c r="G296" i="6"/>
  <c r="H296" i="6" s="1"/>
  <c r="I296" i="6" s="1"/>
  <c r="H295" i="6"/>
  <c r="G294" i="6"/>
  <c r="H294" i="6" s="1"/>
  <c r="H293" i="6"/>
  <c r="G292" i="6"/>
  <c r="H292" i="6" s="1"/>
  <c r="I292" i="6" s="1"/>
  <c r="H291" i="6"/>
  <c r="G290" i="6"/>
  <c r="H290" i="6" s="1"/>
  <c r="I290" i="6" s="1"/>
  <c r="H289" i="6"/>
  <c r="G288" i="6"/>
  <c r="H288" i="6" s="1"/>
  <c r="H287" i="6"/>
  <c r="G286" i="6"/>
  <c r="H286" i="6" s="1"/>
  <c r="I286" i="6" s="1"/>
  <c r="H285" i="6"/>
  <c r="G284" i="6"/>
  <c r="H284" i="6" s="1"/>
  <c r="I284" i="6" s="1"/>
  <c r="H283" i="6"/>
  <c r="G282" i="6"/>
  <c r="H282" i="6" s="1"/>
  <c r="H281" i="6"/>
  <c r="H279" i="6"/>
  <c r="F279" i="6"/>
  <c r="G280" i="6" s="1"/>
  <c r="H280" i="6" s="1"/>
  <c r="I280" i="6" s="1"/>
  <c r="H277" i="6"/>
  <c r="F277" i="6"/>
  <c r="G278" i="6" s="1"/>
  <c r="H278" i="6" s="1"/>
  <c r="I278" i="6" s="1"/>
  <c r="H275" i="6"/>
  <c r="F275" i="6"/>
  <c r="G276" i="6" s="1"/>
  <c r="H276" i="6" s="1"/>
  <c r="I276" i="6" s="1"/>
  <c r="H273" i="6"/>
  <c r="F273" i="6"/>
  <c r="G274" i="6" s="1"/>
  <c r="H274" i="6" s="1"/>
  <c r="I274" i="6" s="1"/>
  <c r="H271" i="6"/>
  <c r="F271" i="6"/>
  <c r="G272" i="6" s="1"/>
  <c r="H272" i="6" s="1"/>
  <c r="H269" i="6"/>
  <c r="F269" i="6"/>
  <c r="G270" i="6" s="1"/>
  <c r="H270" i="6" s="1"/>
  <c r="H267" i="6"/>
  <c r="F267" i="6"/>
  <c r="G268" i="6" s="1"/>
  <c r="H268" i="6" s="1"/>
  <c r="H265" i="6"/>
  <c r="F265" i="6"/>
  <c r="H266" i="6" s="1"/>
  <c r="H264" i="6"/>
  <c r="I264" i="6" s="1"/>
  <c r="H263" i="6"/>
  <c r="F263" i="6"/>
  <c r="H262" i="6"/>
  <c r="H261" i="6"/>
  <c r="I262" i="6" s="1"/>
  <c r="F261" i="6"/>
  <c r="H260" i="6"/>
  <c r="H259" i="6"/>
  <c r="I260" i="6" s="1"/>
  <c r="F259" i="6"/>
  <c r="H258" i="6"/>
  <c r="H257" i="6"/>
  <c r="I258" i="6" s="1"/>
  <c r="F257" i="6"/>
  <c r="H256" i="6"/>
  <c r="H255" i="6"/>
  <c r="F255" i="6"/>
  <c r="G254" i="6"/>
  <c r="H253" i="6"/>
  <c r="I236" i="6"/>
  <c r="I234" i="6"/>
  <c r="I232" i="6"/>
  <c r="I230" i="6"/>
  <c r="I228" i="6"/>
  <c r="I226" i="6"/>
  <c r="I224" i="6"/>
  <c r="I222" i="6"/>
  <c r="I220" i="6"/>
  <c r="I218" i="6"/>
  <c r="I216" i="6"/>
  <c r="I214" i="6"/>
  <c r="I212"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11" i="6"/>
  <c r="G236" i="6"/>
  <c r="G234" i="6"/>
  <c r="G232" i="6"/>
  <c r="G230" i="6"/>
  <c r="G228" i="6"/>
  <c r="G226" i="6"/>
  <c r="G224" i="6"/>
  <c r="G220" i="6"/>
  <c r="G222" i="6" s="1"/>
  <c r="G214" i="6"/>
  <c r="G216" i="6" s="1"/>
  <c r="G218" i="6" s="1"/>
  <c r="G212" i="6"/>
  <c r="D238" i="6"/>
  <c r="G210" i="6"/>
  <c r="H210" i="6" s="1"/>
  <c r="H209" i="6"/>
  <c r="G208" i="6"/>
  <c r="H208" i="6" s="1"/>
  <c r="H207" i="6"/>
  <c r="G206" i="6"/>
  <c r="H206" i="6" s="1"/>
  <c r="H205" i="6"/>
  <c r="G204" i="6"/>
  <c r="H204" i="6" s="1"/>
  <c r="H203" i="6"/>
  <c r="I204" i="6" s="1"/>
  <c r="G202" i="6"/>
  <c r="H202" i="6" s="1"/>
  <c r="H201" i="6"/>
  <c r="G200" i="6"/>
  <c r="H200" i="6" s="1"/>
  <c r="H199" i="6"/>
  <c r="I200" i="6" s="1"/>
  <c r="G198" i="6"/>
  <c r="H198" i="6" s="1"/>
  <c r="H197" i="6"/>
  <c r="H195" i="6"/>
  <c r="F195" i="6"/>
  <c r="G196" i="6" s="1"/>
  <c r="H196" i="6" s="1"/>
  <c r="H193" i="6"/>
  <c r="F193" i="6"/>
  <c r="G194" i="6" s="1"/>
  <c r="H194" i="6" s="1"/>
  <c r="H191" i="6"/>
  <c r="F191" i="6"/>
  <c r="G192" i="6" s="1"/>
  <c r="H192" i="6" s="1"/>
  <c r="H189" i="6"/>
  <c r="F189" i="6"/>
  <c r="G190" i="6" s="1"/>
  <c r="H190" i="6" s="1"/>
  <c r="H187" i="6"/>
  <c r="F187" i="6"/>
  <c r="G188" i="6" s="1"/>
  <c r="H188" i="6" s="1"/>
  <c r="H185" i="6"/>
  <c r="F185" i="6"/>
  <c r="G186" i="6" s="1"/>
  <c r="H186" i="6" s="1"/>
  <c r="H183" i="6"/>
  <c r="F183" i="6"/>
  <c r="G184" i="6" s="1"/>
  <c r="H184" i="6" s="1"/>
  <c r="H181" i="6"/>
  <c r="F181" i="6"/>
  <c r="G182" i="6" s="1"/>
  <c r="H182" i="6" s="1"/>
  <c r="H179" i="6"/>
  <c r="F179" i="6"/>
  <c r="H180" i="6" s="1"/>
  <c r="H178" i="6"/>
  <c r="H177" i="6"/>
  <c r="F177" i="6"/>
  <c r="H175" i="6"/>
  <c r="F175" i="6"/>
  <c r="H176" i="6" s="1"/>
  <c r="I176" i="6" s="1"/>
  <c r="H173" i="6"/>
  <c r="F173" i="6"/>
  <c r="H174" i="6" s="1"/>
  <c r="H172" i="6"/>
  <c r="H171" i="6"/>
  <c r="F171" i="6"/>
  <c r="G170" i="6"/>
  <c r="H169" i="6"/>
  <c r="K15" i="9"/>
  <c r="I15" i="9"/>
  <c r="G15" i="9"/>
  <c r="F15" i="9"/>
  <c r="E15" i="9"/>
  <c r="D15" i="9"/>
  <c r="C15" i="9"/>
  <c r="I308" i="6" l="1"/>
  <c r="I306" i="6"/>
  <c r="I266" i="6"/>
  <c r="I256" i="6"/>
  <c r="F322" i="6"/>
  <c r="I318" i="6"/>
  <c r="I312" i="6"/>
  <c r="I300" i="6"/>
  <c r="I294" i="6"/>
  <c r="I288" i="6"/>
  <c r="I282" i="6"/>
  <c r="I272" i="6"/>
  <c r="I268" i="6"/>
  <c r="G322" i="6"/>
  <c r="I270" i="6"/>
  <c r="H254" i="6"/>
  <c r="H322" i="6" s="1"/>
  <c r="I202" i="6"/>
  <c r="H238" i="6"/>
  <c r="G238" i="6"/>
  <c r="I190" i="6"/>
  <c r="I196" i="6"/>
  <c r="I186" i="6"/>
  <c r="I208" i="6"/>
  <c r="I206" i="6"/>
  <c r="I180" i="6"/>
  <c r="F238" i="6"/>
  <c r="I182" i="6"/>
  <c r="I192" i="6"/>
  <c r="I188" i="6"/>
  <c r="I172" i="6"/>
  <c r="H170" i="6"/>
  <c r="I170" i="6" s="1"/>
  <c r="I184" i="6"/>
  <c r="I174" i="6"/>
  <c r="I194" i="6"/>
  <c r="I178" i="6"/>
  <c r="I198" i="6"/>
  <c r="I210" i="6"/>
  <c r="L12" i="9"/>
  <c r="J12" i="9"/>
  <c r="H12" i="9"/>
  <c r="L11" i="9"/>
  <c r="J11" i="9"/>
  <c r="H11" i="9"/>
  <c r="I254" i="6" l="1"/>
  <c r="I322" i="6"/>
  <c r="I238" i="6"/>
  <c r="J15" i="9"/>
  <c r="H15" i="9"/>
  <c r="J10" i="9"/>
  <c r="H10" i="9"/>
  <c r="F10" i="9"/>
  <c r="D10" i="9"/>
  <c r="J9" i="9"/>
  <c r="H9" i="9"/>
  <c r="J8" i="9"/>
  <c r="H8" i="9"/>
  <c r="J7" i="9"/>
  <c r="H7" i="9"/>
  <c r="F7" i="9"/>
  <c r="D7" i="9"/>
  <c r="S34" i="5"/>
  <c r="S33" i="5"/>
  <c r="S32" i="5"/>
  <c r="S31" i="5"/>
  <c r="S30" i="5"/>
  <c r="S29" i="5"/>
  <c r="S28" i="5"/>
  <c r="S27" i="5"/>
  <c r="S26" i="5"/>
  <c r="S25" i="5"/>
  <c r="S24" i="5"/>
  <c r="S23" i="5"/>
  <c r="S22" i="5"/>
  <c r="S21" i="5"/>
  <c r="S20" i="5"/>
  <c r="S19" i="5"/>
  <c r="S42" i="5" s="1"/>
  <c r="S18" i="5"/>
  <c r="S17" i="5"/>
  <c r="S16" i="5"/>
  <c r="S15" i="5"/>
  <c r="S14" i="5"/>
  <c r="S13" i="5"/>
  <c r="S12" i="5"/>
  <c r="S11" i="5"/>
  <c r="S10" i="5"/>
  <c r="S9" i="5"/>
  <c r="S7" i="5"/>
  <c r="S6" i="5"/>
  <c r="S5" i="5"/>
  <c r="S4" i="5"/>
  <c r="L10" i="9" l="1"/>
  <c r="L9" i="9"/>
  <c r="L8" i="9"/>
  <c r="L7" i="9"/>
  <c r="G13" i="7"/>
  <c r="L15" i="9" l="1"/>
  <c r="G96" i="6"/>
  <c r="G150" i="6"/>
  <c r="G148" i="6"/>
  <c r="G146" i="6"/>
  <c r="G142" i="6"/>
  <c r="G140" i="6"/>
  <c r="G156" i="6"/>
  <c r="D153" i="6"/>
  <c r="F135" i="6"/>
  <c r="F133" i="6"/>
  <c r="F131" i="6"/>
  <c r="G132" i="6" s="1"/>
  <c r="F129" i="6"/>
  <c r="F127" i="6"/>
  <c r="F125" i="6"/>
  <c r="G126" i="6" s="1"/>
  <c r="F123" i="6"/>
  <c r="F121" i="6"/>
  <c r="F119" i="6"/>
  <c r="G120" i="6" s="1"/>
  <c r="F117" i="6"/>
  <c r="G118" i="6" s="1"/>
  <c r="F115" i="6"/>
  <c r="F113" i="6"/>
  <c r="F111" i="6"/>
  <c r="G112" i="6" s="1"/>
  <c r="F33" i="6"/>
  <c r="D92" i="6"/>
  <c r="G89" i="6"/>
  <c r="H89" i="6" s="1"/>
  <c r="H88" i="6"/>
  <c r="G87" i="6"/>
  <c r="H87" i="6" s="1"/>
  <c r="H86" i="6"/>
  <c r="G85" i="6"/>
  <c r="H85" i="6" s="1"/>
  <c r="H84" i="6"/>
  <c r="G83" i="6"/>
  <c r="H83" i="6" s="1"/>
  <c r="H82" i="6"/>
  <c r="G81" i="6"/>
  <c r="H81" i="6" s="1"/>
  <c r="H80" i="6"/>
  <c r="G79" i="6"/>
  <c r="H79" i="6" s="1"/>
  <c r="H78" i="6"/>
  <c r="F60" i="6"/>
  <c r="F58" i="6"/>
  <c r="F56" i="6"/>
  <c r="F54" i="6"/>
  <c r="F52" i="6"/>
  <c r="F50" i="6"/>
  <c r="F48" i="6"/>
  <c r="F46" i="6"/>
  <c r="F44" i="6"/>
  <c r="F42" i="6"/>
  <c r="F40" i="6"/>
  <c r="F38" i="6"/>
  <c r="F36" i="6"/>
  <c r="F153" i="6" l="1"/>
  <c r="I83" i="6"/>
  <c r="I87" i="6"/>
  <c r="I85" i="6"/>
  <c r="F92" i="6"/>
  <c r="I79" i="6"/>
  <c r="I89" i="6"/>
  <c r="I81" i="6"/>
  <c r="J7" i="5"/>
  <c r="J6" i="5"/>
  <c r="E7" i="5"/>
  <c r="E5" i="5"/>
  <c r="G37" i="6" l="1"/>
  <c r="G38" i="6" s="1"/>
  <c r="G39" i="6" s="1"/>
  <c r="G40" i="6" s="1"/>
  <c r="G41" i="6" s="1"/>
  <c r="G42" i="6" s="1"/>
  <c r="G43" i="6" s="1"/>
  <c r="G44" i="6" s="1"/>
  <c r="G45" i="6" s="1"/>
  <c r="G46" i="6" s="1"/>
  <c r="G47" i="6" s="1"/>
  <c r="G48" i="6" s="1"/>
  <c r="G49" i="6" s="1"/>
  <c r="G50" i="6" s="1"/>
  <c r="G51" i="6" s="1"/>
  <c r="G52" i="6" s="1"/>
  <c r="G53" i="6" s="1"/>
  <c r="G54" i="6" s="1"/>
  <c r="G55" i="6" s="1"/>
  <c r="G56" i="6" s="1"/>
  <c r="G57" i="6" s="1"/>
  <c r="G58" i="6" s="1"/>
  <c r="G59" i="6" s="1"/>
  <c r="G60" i="6" s="1"/>
  <c r="G61" i="6" s="1"/>
  <c r="G62" i="6" s="1"/>
  <c r="G63" i="6" s="1"/>
  <c r="G64" i="6" s="1"/>
  <c r="G65" i="6" s="1"/>
  <c r="G66" i="6" s="1"/>
  <c r="G67" i="6" s="1"/>
  <c r="G68" i="6" s="1"/>
  <c r="G69" i="6" s="1"/>
  <c r="G70" i="6" s="1"/>
  <c r="G71" i="6" s="1"/>
  <c r="G72" i="6" s="1"/>
  <c r="G73" i="6" s="1"/>
  <c r="G74" i="6" s="1"/>
  <c r="G75" i="6" s="1"/>
  <c r="G76" i="6" s="1"/>
  <c r="G77" i="6" s="1"/>
  <c r="G35" i="6" l="1"/>
  <c r="H35" i="6" s="1"/>
  <c r="H34" i="6"/>
  <c r="E38" i="2"/>
  <c r="I35" i="6" l="1"/>
  <c r="H111" i="6"/>
  <c r="H109" i="6"/>
  <c r="G110" i="6"/>
  <c r="H110" i="6" s="1"/>
  <c r="H112" i="6" l="1"/>
  <c r="I110" i="6"/>
  <c r="H36" i="6"/>
  <c r="G114" i="6" l="1"/>
  <c r="H113" i="6"/>
  <c r="I112" i="6"/>
  <c r="H37" i="6"/>
  <c r="I37" i="6" s="1"/>
  <c r="C11" i="5"/>
  <c r="H114" i="6" l="1"/>
  <c r="I114" i="6" s="1"/>
  <c r="H38" i="6"/>
  <c r="E6" i="12"/>
  <c r="G116" i="6" l="1"/>
  <c r="H115" i="6"/>
  <c r="H39" i="6"/>
  <c r="I39" i="6" s="1"/>
  <c r="H116" i="6" l="1"/>
  <c r="I116" i="6" s="1"/>
  <c r="H40" i="6"/>
  <c r="H117" i="6" l="1"/>
  <c r="H42" i="6"/>
  <c r="H41" i="6"/>
  <c r="H118" i="6" l="1"/>
  <c r="I118" i="6" s="1"/>
  <c r="H43" i="6"/>
  <c r="I43" i="6" s="1"/>
  <c r="I41" i="6"/>
  <c r="H119" i="6" l="1"/>
  <c r="H44" i="6"/>
  <c r="H120" i="6" l="1"/>
  <c r="I120" i="6" s="1"/>
  <c r="H45" i="6"/>
  <c r="I45" i="6" s="1"/>
  <c r="F24" i="7"/>
  <c r="E24" i="7"/>
  <c r="H121" i="6" l="1"/>
  <c r="G122" i="6"/>
  <c r="H46" i="6"/>
  <c r="H122" i="6" l="1"/>
  <c r="I122" i="6" s="1"/>
  <c r="H47" i="6"/>
  <c r="I47" i="6" s="1"/>
  <c r="G124" i="6" l="1"/>
  <c r="H123" i="6"/>
  <c r="H48" i="6"/>
  <c r="H124" i="6" l="1"/>
  <c r="I124" i="6" s="1"/>
  <c r="H49" i="6"/>
  <c r="I49" i="6" s="1"/>
  <c r="H125" i="6" l="1"/>
  <c r="H50" i="6"/>
  <c r="E6" i="5"/>
  <c r="E9" i="5"/>
  <c r="D11" i="5"/>
  <c r="J5" i="5"/>
  <c r="J9" i="5"/>
  <c r="H11" i="5"/>
  <c r="I11" i="5"/>
  <c r="D22" i="7"/>
  <c r="G18" i="6"/>
  <c r="F11" i="6"/>
  <c r="H126" i="6" l="1"/>
  <c r="I126" i="6" s="1"/>
  <c r="H51" i="6"/>
  <c r="I51" i="6" s="1"/>
  <c r="J11" i="5"/>
  <c r="E11" i="5"/>
  <c r="E22" i="7"/>
  <c r="F22" i="7"/>
  <c r="F25" i="7" s="1"/>
  <c r="D25" i="7"/>
  <c r="G7" i="7"/>
  <c r="G128" i="6" l="1"/>
  <c r="H127" i="6"/>
  <c r="H52" i="6"/>
  <c r="G22" i="7"/>
  <c r="G25" i="7" s="1"/>
  <c r="E25" i="7"/>
  <c r="H128" i="6" l="1"/>
  <c r="I128" i="6" s="1"/>
  <c r="H53" i="6"/>
  <c r="I53" i="6" s="1"/>
  <c r="G130" i="6" l="1"/>
  <c r="H129" i="6"/>
  <c r="H54" i="6"/>
  <c r="H130" i="6" l="1"/>
  <c r="I130" i="6" s="1"/>
  <c r="H55" i="6"/>
  <c r="I55" i="6" s="1"/>
  <c r="H131" i="6" l="1"/>
  <c r="H56" i="6"/>
  <c r="H132" i="6" l="1"/>
  <c r="I132" i="6" s="1"/>
  <c r="H57" i="6"/>
  <c r="I57" i="6" s="1"/>
  <c r="G12" i="6"/>
  <c r="H11" i="6"/>
  <c r="H133" i="6" l="1"/>
  <c r="G134" i="6"/>
  <c r="H58" i="6"/>
  <c r="H12" i="6"/>
  <c r="I12" i="6" s="1"/>
  <c r="H134" i="6" l="1"/>
  <c r="I134" i="6" s="1"/>
  <c r="H59" i="6"/>
  <c r="I59" i="6" s="1"/>
  <c r="D15" i="6"/>
  <c r="G136" i="6" l="1"/>
  <c r="H135" i="6"/>
  <c r="H60" i="6"/>
  <c r="F15" i="6"/>
  <c r="H136" i="6" l="1"/>
  <c r="I136" i="6" s="1"/>
  <c r="H61" i="6"/>
  <c r="I61" i="6" s="1"/>
  <c r="H15" i="6"/>
  <c r="G15" i="6"/>
  <c r="H137" i="6" l="1"/>
  <c r="G138" i="6"/>
  <c r="H62" i="6"/>
  <c r="I15" i="6"/>
  <c r="H138" i="6" l="1"/>
  <c r="I138" i="6" s="1"/>
  <c r="H63" i="6"/>
  <c r="I63" i="6" s="1"/>
  <c r="R42" i="5"/>
  <c r="Q42" i="5"/>
  <c r="O42" i="5"/>
  <c r="N42" i="5"/>
  <c r="H139" i="6" l="1"/>
  <c r="H64" i="6"/>
  <c r="H140" i="6" l="1"/>
  <c r="I140" i="6" s="1"/>
  <c r="H65" i="6"/>
  <c r="I65" i="6" s="1"/>
  <c r="D44" i="2"/>
  <c r="H141" i="6" l="1"/>
  <c r="H66" i="6"/>
  <c r="E44" i="2"/>
  <c r="H142" i="6" l="1"/>
  <c r="I142" i="6" s="1"/>
  <c r="H67" i="6"/>
  <c r="I67" i="6" s="1"/>
  <c r="G144" i="6" l="1"/>
  <c r="H143" i="6"/>
  <c r="H68" i="6"/>
  <c r="H144" i="6" l="1"/>
  <c r="I144" i="6" s="1"/>
  <c r="H69" i="6"/>
  <c r="I69" i="6" s="1"/>
  <c r="H145" i="6" l="1"/>
  <c r="H70" i="6"/>
  <c r="H146" i="6" l="1"/>
  <c r="I146" i="6" s="1"/>
  <c r="H71" i="6"/>
  <c r="I71" i="6" s="1"/>
  <c r="H147" i="6" l="1"/>
  <c r="H72" i="6"/>
  <c r="H148" i="6" l="1"/>
  <c r="I148" i="6" s="1"/>
  <c r="H73" i="6"/>
  <c r="I73" i="6" s="1"/>
  <c r="H149" i="6" l="1"/>
  <c r="H74" i="6"/>
  <c r="H150" i="6" l="1"/>
  <c r="I150" i="6" s="1"/>
  <c r="H75" i="6"/>
  <c r="I75" i="6" s="1"/>
  <c r="H76" i="6" l="1"/>
  <c r="H77" i="6"/>
  <c r="G92" i="6"/>
  <c r="H92" i="6" l="1"/>
  <c r="H153" i="6"/>
  <c r="G153" i="6"/>
  <c r="I77" i="6"/>
  <c r="I92" i="6" s="1"/>
  <c r="I153" i="6" l="1"/>
  <c r="A9" i="17"/>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alcChain>
</file>

<file path=xl/sharedStrings.xml><?xml version="1.0" encoding="utf-8"?>
<sst xmlns="http://schemas.openxmlformats.org/spreadsheetml/2006/main" count="483" uniqueCount="126">
  <si>
    <t>All Issues</t>
  </si>
  <si>
    <t xml:space="preserve"> Series</t>
  </si>
  <si>
    <t>Principal</t>
  </si>
  <si>
    <t>Interest</t>
  </si>
  <si>
    <t xml:space="preserve"> Total</t>
  </si>
  <si>
    <t>Fiscal Year</t>
  </si>
  <si>
    <t>TOTAL CURRENT</t>
  </si>
  <si>
    <t>TOTAL ALL</t>
  </si>
  <si>
    <t>DEBT SERVICE REQUIREMENTS SUMMARY</t>
  </si>
  <si>
    <t>PRINCIPAL AND INTEREST SCHEDULE</t>
  </si>
  <si>
    <t>Combined Total</t>
  </si>
  <si>
    <t>Revenue Backed Debt</t>
  </si>
  <si>
    <t>SERIES</t>
  </si>
  <si>
    <t>PURPOSE</t>
  </si>
  <si>
    <t>PRINCIPAL</t>
  </si>
  <si>
    <t>INTEREST</t>
  </si>
  <si>
    <t>TOTAL</t>
  </si>
  <si>
    <t>ISSUED</t>
  </si>
  <si>
    <t>OUTSTANDING</t>
  </si>
  <si>
    <t>MATURITY</t>
  </si>
  <si>
    <t>RATE</t>
  </si>
  <si>
    <t>PER MATURITY</t>
  </si>
  <si>
    <t>FY TOTAL</t>
  </si>
  <si>
    <t>BOND MATURITY SCHEDULE</t>
  </si>
  <si>
    <t>Total Proceeds Received:</t>
  </si>
  <si>
    <t>Proceeds Spent:</t>
  </si>
  <si>
    <t>Proceeds Unspent:</t>
  </si>
  <si>
    <t>Current Revenue Bonds</t>
  </si>
  <si>
    <t>Total Outstanding Revenue Bonds (All Years)</t>
  </si>
  <si>
    <t>Total Outstanding Revenue Bonds</t>
  </si>
  <si>
    <t>Population:</t>
  </si>
  <si>
    <t>Per Capita</t>
  </si>
  <si>
    <t>Population Source:  US Census</t>
  </si>
  <si>
    <t xml:space="preserve">TOTAL OUTSTANDING  DEBT SERVICE </t>
  </si>
  <si>
    <t>HIDALGO COUNTY REGIONAL MOBILITY AUTHORITY</t>
  </si>
  <si>
    <t>Senior Lien Vehicle Registration Fee Revenue &amp; Refunding Bonds, Series 2013</t>
  </si>
  <si>
    <t>Total</t>
  </si>
  <si>
    <t xml:space="preserve">Principal </t>
  </si>
  <si>
    <t>Yr</t>
  </si>
  <si>
    <t>Revenue Bond Series-2013</t>
  </si>
  <si>
    <t>Combined Totals</t>
  </si>
  <si>
    <t>Original Amount</t>
  </si>
  <si>
    <t>TOTALS</t>
  </si>
  <si>
    <t>Per Capita  Revenue Bond Debt Payable</t>
  </si>
  <si>
    <t>Proceeds from the sale of the Bonds will be used for the purpose of (i) financing of all or part of certain transportation projects and related expenditures, (ii) funding a Debt Service Reserve Fund, (iii) refunding, defeasing and canceling a line of credit and, (iv) and paying the costs of issuance of the Bonds.</t>
  </si>
  <si>
    <t xml:space="preserve">Outstanding Debt Service Requirements as of December 31, </t>
  </si>
  <si>
    <t xml:space="preserve"> Year</t>
  </si>
  <si>
    <t>Senior Lien Vehicle Registration Fee Revenue &amp; Refunding Bonds, Series 2013 (1)</t>
  </si>
  <si>
    <t>6/1</t>
  </si>
  <si>
    <t>12/1</t>
  </si>
  <si>
    <t>Issue:  $61,600,000</t>
  </si>
  <si>
    <t>Dated:  December 10, 2013</t>
  </si>
  <si>
    <t>SENIOR LIEN VEHICLE REGISTRATION FEE REVENUE &amp; REFUNDING BONDS</t>
  </si>
  <si>
    <t>SERIES 2013</t>
  </si>
  <si>
    <t>Senior Lien Bonds, Series 2013</t>
  </si>
  <si>
    <t>SR LIEN SER 2013</t>
  </si>
  <si>
    <t>Revenue-supported debt per capita</t>
  </si>
  <si>
    <t>Population</t>
  </si>
  <si>
    <t>Inflation-Adjusted Tax-supported Debt per Capita</t>
  </si>
  <si>
    <t>Note: The inflation adjustement above uses inflation adjustment uses the Consumer Price Index (CPI) from the calculations of the US Inflation Calculator</t>
  </si>
  <si>
    <t>US Inflation: http://www.usinflationcalculator.com/</t>
  </si>
  <si>
    <t>CPI Databases: http://www.bls.gov/cpi/#data</t>
  </si>
  <si>
    <t>Outstanding</t>
  </si>
  <si>
    <t>Senior Lien Vehicle Registration Fee Revenue Bonds, Series 2020A</t>
  </si>
  <si>
    <t>Senior Lien Vehicle Registration Fee Revenue &amp; Refunding Bonds, Series 2020B</t>
  </si>
  <si>
    <t>Senior Lien Bonds, Series 2020A</t>
  </si>
  <si>
    <t>REVENUE BONDS, TAX EXEMPT</t>
  </si>
  <si>
    <t>SERIES 2020A</t>
  </si>
  <si>
    <t>SERIES 2020B</t>
  </si>
  <si>
    <t>REVENUE REFUNDING BONDS, TAXABLE</t>
  </si>
  <si>
    <t>Tax Exempt Bonds 2020A</t>
  </si>
  <si>
    <t>Revenue Refunding Bonds 2020B</t>
  </si>
  <si>
    <t>Series 2020A</t>
  </si>
  <si>
    <t>Series 2020B</t>
  </si>
  <si>
    <t>All Combinted Issues</t>
  </si>
  <si>
    <t>Proceeds from the sale of the Bonds will be used for the purpose of (i) pay the Project Costs, (ii) pay the premium for a Reserve Fund Surety Policy for the Tax-Exempt Bonds, and (iii) pay cost of issuance.</t>
  </si>
  <si>
    <t>Proceeds from the sale of the Bonds will be used for the purpose of (i) refund certain outstanding bonds of the Authority, (ii) pay the premium for a Reserve Fund Surety Policy for the Tax-Exempt Bonds, and (iii) pay cost of issuance.</t>
  </si>
  <si>
    <t>Issue:  $9,870,000</t>
  </si>
  <si>
    <t>Dated:  September 1, 2020</t>
  </si>
  <si>
    <t>Issue:  $58,015,000</t>
  </si>
  <si>
    <t>Dated: September 1, 2020</t>
  </si>
  <si>
    <t>Senior Lien Revenue Refunding Bonds, Series 2020B</t>
  </si>
  <si>
    <t>Senior Lien Refunding Bonds, Series 2020B</t>
  </si>
  <si>
    <t xml:space="preserve">as of December 31, 2022                                                                                                                   </t>
  </si>
  <si>
    <t>AS OF December 31, 2022</t>
  </si>
  <si>
    <t xml:space="preserve">Junior Lien Revenue Bond, Taxable Series 2016A </t>
  </si>
  <si>
    <t>(1) Accreted principal will be added starting in 2042 for a  grand total of $2,652,215 at end of payments.</t>
  </si>
  <si>
    <t>Senior Lien Toll and Vehicle Registration Fee Revenue Bonds, Series 2022A (1)</t>
  </si>
  <si>
    <t>Junior Lien Toll and Vehicle Registration Fee Revenue &amp; Refunding Bonds, Series 2022B (2)</t>
  </si>
  <si>
    <t>(2) Accreted principal will be added starting in 2042 for a  grand total of $1,170,044 at end of payments.</t>
  </si>
  <si>
    <t>Issue:  $151,650,345</t>
  </si>
  <si>
    <t>Dated: February 10, 2022</t>
  </si>
  <si>
    <t>SERIES 2022A</t>
  </si>
  <si>
    <t>Sr Lien Toll and Vehicle Registration Fee Revenue Bonds</t>
  </si>
  <si>
    <t>SERIES 2022B</t>
  </si>
  <si>
    <t>Jr Lien Toll and Vehicle Registration Fee Revenue and  Refunding Bonds</t>
  </si>
  <si>
    <t>Issue:  $63,884,707</t>
  </si>
  <si>
    <t>Series 2022B</t>
  </si>
  <si>
    <t>Series 2022A</t>
  </si>
  <si>
    <t>Jr Lien Rev. Refun. Bonds 2022B</t>
  </si>
  <si>
    <t>Senior Lien Toll Bonds 2022A</t>
  </si>
  <si>
    <t>SR/JR LIEN SERIES 2022</t>
  </si>
  <si>
    <t>SR LIEN SERIES 2020</t>
  </si>
  <si>
    <t>HCRMA Outstanding Bonds FY 2022</t>
  </si>
  <si>
    <t>2028-2032</t>
  </si>
  <si>
    <t>2033-2037</t>
  </si>
  <si>
    <t>2038-2042</t>
  </si>
  <si>
    <t>2043-2047</t>
  </si>
  <si>
    <t>2048-2052</t>
  </si>
  <si>
    <t>2053-2056</t>
  </si>
  <si>
    <t>as of December 31, 2022</t>
  </si>
  <si>
    <t>Senior Lien Toll Bonds, Series 2022A</t>
  </si>
  <si>
    <t>JR Lien Rev. Refunding Bonds, Series 2022B</t>
  </si>
  <si>
    <t>Senior Lien Vehicle Registration Fee  Refunding Bonds, Taxable Series 2020B (1)</t>
  </si>
  <si>
    <t>CPI Multiplier (Inflation Adjustment to 2022 Dollars)</t>
  </si>
  <si>
    <t>Senior Lien Vehicle Registration Fee  Refunding Bonds, Taxable Series 2020A (1)</t>
  </si>
  <si>
    <t>Proceeds from the sale of the Bonds will be used for the purpose of (i) pay the costs of constructing Segments 1 and 2 of the 365 Toll Project, (ii)capitalized interest, (iii) deposit to reserve fund and (iv) issuance cost.</t>
  </si>
  <si>
    <t>Proceeds from the sale of the Bonds will be used for the purpose of (i)refunding the Authority's outstanding TxDOT SIB Bond, (ii)to pay capitalized interest, (iii) deposit to reserve fund and (iv) issuance cost.</t>
  </si>
  <si>
    <t>Senior Lien Toll and Vehicle Registration Fee Revenue Bonds, Series 2022A (2), (4)</t>
  </si>
  <si>
    <t>Junior Lien Toll and Vehicle Registration Fee Revenue &amp; Refunding Bonds, Series 2022B (3)(5)</t>
  </si>
  <si>
    <t>(4) Note :  Accreted principal will be added starting in 2042 for a grand total of $2,652,215 at end of payments</t>
  </si>
  <si>
    <t>(5) Note :  Accreted principal will be added starting in 2042 for a grand total of $1,170,044 at end of payments</t>
  </si>
  <si>
    <t>Estimated U.S. Census Population as of 07/31/22</t>
  </si>
  <si>
    <r>
      <t>TOTAL OUTSTANDING REVENUE BONDS                                                     (1)</t>
    </r>
    <r>
      <rPr>
        <b/>
        <sz val="12"/>
        <color theme="0"/>
        <rFont val="Calibri"/>
        <family val="2"/>
        <scheme val="minor"/>
      </rPr>
      <t xml:space="preserve"> Credit Rating:     S&amp;P  AA-</t>
    </r>
  </si>
  <si>
    <r>
      <t xml:space="preserve">                                                   (2)</t>
    </r>
    <r>
      <rPr>
        <b/>
        <sz val="12"/>
        <color theme="0"/>
        <rFont val="Calibri"/>
        <family val="2"/>
        <scheme val="minor"/>
      </rPr>
      <t xml:space="preserve"> Credit Rating: S&amp;P BBB- and Moody's Baa2 </t>
    </r>
  </si>
  <si>
    <r>
      <t xml:space="preserve">                                                   (3)</t>
    </r>
    <r>
      <rPr>
        <b/>
        <sz val="12"/>
        <color theme="0"/>
        <rFont val="Calibri"/>
        <family val="2"/>
        <scheme val="minor"/>
      </rPr>
      <t xml:space="preserve"> Credit Rating: S&amp;P BB+ and Moody's Baa3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</si>
</sst>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0_)"/>
    <numFmt numFmtId="168" formatCode="m/d;@"/>
    <numFmt numFmtId="169" formatCode="_(* #,##0.00_);_(* \(#,##0.00\);_(* &quot;-&quot;_);_(@_)"/>
    <numFmt numFmtId="170" formatCode="0.000000000"/>
    <numFmt numFmtId="171" formatCode="_(* #,##0.000000000000_);_(* \(#,##0.000000000000\);_(* &quot;-&quot;??_);_(@_)"/>
    <numFmt numFmtId="172" formatCode="0.0000000%"/>
    <numFmt numFmtId="173" formatCode="0.000000000000000"/>
    <numFmt numFmtId="174" formatCode="_(* #,##0.000000000_);_(* \(#,##0.000000000\);_(* &quot;-&quot;??_);_(@_)"/>
    <numFmt numFmtId="175" formatCode="_(&quot;$&quot;* #,##0.0000000000_);_(&quot;$&quot;* \(#,##0.0000000000\);_(&quot;$&quot;* &quot;-&quot;??_);_(@_)"/>
    <numFmt numFmtId="176" formatCode="0.0000000000"/>
    <numFmt numFmtId="177" formatCode="_(&quot;$&quot;* #,##0.000000000_);_(&quot;$&quot;* \(#,##0.000000000\);_(&quot;$&quot;* &quot;-&quot;??_);_(@_)"/>
    <numFmt numFmtId="178" formatCode="0.00000"/>
    <numFmt numFmtId="179" formatCode="\$#,##0.000000000;[Red]&quot;($&quot;#,##0.000000000\)"/>
  </numFmts>
  <fonts count="36">
    <font>
      <sz val="11"/>
      <color theme="1"/>
      <name val="Calibri"/>
      <family val="2"/>
      <scheme val="minor"/>
    </font>
    <font>
      <sz val="11"/>
      <color theme="1"/>
      <name val="Calibri"/>
      <family val="2"/>
      <scheme val="minor"/>
    </font>
    <font>
      <sz val="11"/>
      <color rgb="FFFF0000"/>
      <name val="Calibri"/>
      <family val="2"/>
      <scheme val="minor"/>
    </font>
    <font>
      <b/>
      <sz val="11"/>
      <color theme="0"/>
      <name val="Arial"/>
      <family val="2"/>
    </font>
    <font>
      <b/>
      <sz val="10"/>
      <color theme="1"/>
      <name val="Arial"/>
      <family val="2"/>
    </font>
    <font>
      <b/>
      <sz val="11"/>
      <color theme="1"/>
      <name val="Arial"/>
      <family val="2"/>
    </font>
    <font>
      <sz val="8"/>
      <color theme="1"/>
      <name val="Calibri"/>
      <family val="2"/>
      <scheme val="minor"/>
    </font>
    <font>
      <b/>
      <i/>
      <sz val="9"/>
      <color theme="1"/>
      <name val="Calibri"/>
      <family val="2"/>
      <scheme val="minor"/>
    </font>
    <font>
      <b/>
      <sz val="10"/>
      <name val="Arial"/>
      <family val="2"/>
    </font>
    <font>
      <b/>
      <sz val="10"/>
      <color theme="0"/>
      <name val="Arial"/>
      <family val="2"/>
    </font>
    <font>
      <sz val="10"/>
      <color theme="1"/>
      <name val="Calibri"/>
      <family val="2"/>
      <scheme val="minor"/>
    </font>
    <font>
      <b/>
      <sz val="14"/>
      <color theme="0"/>
      <name val="Calibri"/>
      <family val="2"/>
      <scheme val="minor"/>
    </font>
    <font>
      <b/>
      <sz val="10"/>
      <color theme="3"/>
      <name val="Calibri"/>
      <family val="2"/>
      <scheme val="minor"/>
    </font>
    <font>
      <sz val="10"/>
      <color theme="3"/>
      <name val="Calibri"/>
      <family val="2"/>
      <scheme val="minor"/>
    </font>
    <font>
      <sz val="10"/>
      <name val="Times New Roman"/>
      <family val="1"/>
    </font>
    <font>
      <sz val="11"/>
      <color theme="1"/>
      <name val="Calibri"/>
      <family val="2"/>
    </font>
    <font>
      <b/>
      <sz val="11"/>
      <name val="Calibri"/>
      <family val="2"/>
    </font>
    <font>
      <sz val="11"/>
      <name val="Calibri"/>
      <family val="2"/>
    </font>
    <font>
      <b/>
      <sz val="11"/>
      <color rgb="FFFF0000"/>
      <name val="Calibri"/>
      <family val="2"/>
    </font>
    <font>
      <b/>
      <sz val="12"/>
      <color theme="0"/>
      <name val="Calibri"/>
      <family val="2"/>
      <scheme val="minor"/>
    </font>
    <font>
      <sz val="11"/>
      <name val="Calibri"/>
      <family val="2"/>
      <scheme val="minor"/>
    </font>
    <font>
      <b/>
      <sz val="11"/>
      <color theme="1"/>
      <name val="Calibri"/>
      <family val="2"/>
      <scheme val="minor"/>
    </font>
    <font>
      <b/>
      <i/>
      <sz val="11"/>
      <color theme="1"/>
      <name val="Calibri"/>
      <family val="2"/>
      <scheme val="minor"/>
    </font>
    <font>
      <sz val="12"/>
      <name val="CG Times"/>
      <family val="1"/>
    </font>
    <font>
      <b/>
      <i/>
      <sz val="10"/>
      <name val="Arial"/>
      <family val="2"/>
    </font>
    <font>
      <i/>
      <sz val="10"/>
      <color theme="1"/>
      <name val="Calibri"/>
      <family val="2"/>
      <scheme val="minor"/>
    </font>
    <font>
      <b/>
      <i/>
      <sz val="10"/>
      <color theme="0"/>
      <name val="Arial"/>
      <family val="2"/>
    </font>
    <font>
      <sz val="10"/>
      <name val="Times New Roman"/>
      <family val="1"/>
    </font>
    <font>
      <sz val="10"/>
      <color rgb="FF0000FF"/>
      <name val="Times New Roman"/>
      <family val="1"/>
    </font>
    <font>
      <b/>
      <i/>
      <sz val="10"/>
      <name val="Times New Roman"/>
      <family val="1"/>
    </font>
    <font>
      <b/>
      <sz val="10"/>
      <color rgb="FF0000FF"/>
      <name val="Times New Roman"/>
      <family val="1"/>
    </font>
    <font>
      <b/>
      <sz val="12"/>
      <name val="Times New Roman"/>
      <family val="1"/>
    </font>
    <font>
      <sz val="11"/>
      <color rgb="FF000000"/>
      <name val="Calibri"/>
      <family val="2"/>
      <scheme val="minor"/>
    </font>
    <font>
      <sz val="10"/>
      <name val="Times New Roman"/>
    </font>
    <font>
      <b/>
      <sz val="10"/>
      <name val="Times New Roman"/>
      <family val="1"/>
    </font>
    <font>
      <sz val="10"/>
      <color rgb="FF0070C0"/>
      <name val="Calibri"/>
      <family val="2"/>
      <scheme val="minor"/>
    </font>
  </fonts>
  <fills count="13">
    <fill>
      <patternFill patternType="none"/>
    </fill>
    <fill>
      <patternFill patternType="gray125"/>
    </fill>
    <fill>
      <patternFill patternType="solid">
        <fgColor theme="4"/>
        <bgColor theme="4" tint="0.79998168889431442"/>
      </patternFill>
    </fill>
    <fill>
      <patternFill patternType="solid">
        <fgColor theme="4" tint="0.79998168889431442"/>
        <bgColor theme="4" tint="0.79998168889431442"/>
      </patternFill>
    </fill>
    <fill>
      <patternFill patternType="solid">
        <fgColor theme="0"/>
        <bgColor indexed="64"/>
      </patternFill>
    </fill>
    <fill>
      <patternFill patternType="solid">
        <fgColor theme="0"/>
        <bgColor theme="4" tint="0.79998168889431442"/>
      </patternFill>
    </fill>
    <fill>
      <patternFill patternType="solid">
        <fgColor theme="0"/>
        <bgColor theme="4" tint="0.79995117038483843"/>
      </patternFill>
    </fill>
    <fill>
      <patternFill patternType="solid">
        <fgColor theme="4" tint="0.79998168889431442"/>
        <bgColor indexed="64"/>
      </patternFill>
    </fill>
    <fill>
      <patternFill patternType="solid">
        <fgColor theme="4"/>
        <bgColor indexed="64"/>
      </patternFill>
    </fill>
    <fill>
      <patternFill patternType="solid">
        <fgColor indexed="9"/>
        <bgColor indexed="64"/>
      </patternFill>
    </fill>
    <fill>
      <patternFill patternType="solid">
        <fgColor theme="4" tint="0.79998168889431442"/>
        <bgColor theme="4" tint="0.79995117038483843"/>
      </patternFill>
    </fill>
    <fill>
      <patternFill patternType="solid">
        <fgColor theme="4" tint="0.59999389629810485"/>
        <bgColor indexed="64"/>
      </patternFill>
    </fill>
    <fill>
      <patternFill patternType="solid">
        <fgColor rgb="FFFFFFFF"/>
        <bgColor rgb="FFFFFFFF"/>
      </patternFill>
    </fill>
  </fills>
  <borders count="47">
    <border>
      <left/>
      <right/>
      <top/>
      <bottom/>
      <diagonal/>
    </border>
    <border>
      <left style="thin">
        <color theme="3" tint="0.59999389629810485"/>
      </left>
      <right/>
      <top style="thin">
        <color theme="3" tint="0.59999389629810485"/>
      </top>
      <bottom/>
      <diagonal/>
    </border>
    <border>
      <left/>
      <right/>
      <top style="thin">
        <color theme="3" tint="0.59999389629810485"/>
      </top>
      <bottom/>
      <diagonal/>
    </border>
    <border>
      <left/>
      <right style="thin">
        <color theme="3" tint="0.59999389629810485"/>
      </right>
      <top style="thin">
        <color theme="3" tint="0.59999389629810485"/>
      </top>
      <bottom/>
      <diagonal/>
    </border>
    <border>
      <left style="thin">
        <color theme="3" tint="0.59999389629810485"/>
      </left>
      <right/>
      <top/>
      <bottom style="thin">
        <color theme="3" tint="0.59999389629810485"/>
      </bottom>
      <diagonal/>
    </border>
    <border>
      <left/>
      <right/>
      <top/>
      <bottom style="thin">
        <color theme="3" tint="0.59999389629810485"/>
      </bottom>
      <diagonal/>
    </border>
    <border>
      <left/>
      <right style="thin">
        <color theme="3" tint="0.59999389629810485"/>
      </right>
      <top/>
      <bottom style="thin">
        <color theme="3" tint="0.59999389629810485"/>
      </bottom>
      <diagonal/>
    </border>
    <border>
      <left style="thin">
        <color theme="4" tint="0.39994506668294322"/>
      </left>
      <right style="thin">
        <color theme="4" tint="0.39994506668294322"/>
      </right>
      <top/>
      <bottom style="thin">
        <color theme="4" tint="0.39994506668294322"/>
      </bottom>
      <diagonal/>
    </border>
    <border>
      <left style="thin">
        <color theme="4" tint="0.39991454817346722"/>
      </left>
      <right style="thin">
        <color theme="4" tint="0.39991454817346722"/>
      </right>
      <top/>
      <bottom style="thin">
        <color theme="4" tint="0.3999145481734672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4506668294322"/>
      </left>
      <right style="thin">
        <color theme="4" tint="0.39994506668294322"/>
      </right>
      <top style="thin">
        <color theme="4" tint="0.39994506668294322"/>
      </top>
      <bottom/>
      <diagonal/>
    </border>
    <border>
      <left/>
      <right/>
      <top style="thin">
        <color theme="4" tint="0.39994506668294322"/>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theme="3"/>
      </left>
      <right/>
      <top/>
      <bottom/>
      <diagonal/>
    </border>
    <border>
      <left style="medium">
        <color theme="3"/>
      </left>
      <right/>
      <top/>
      <bottom style="medium">
        <color theme="3"/>
      </bottom>
      <diagonal/>
    </border>
    <border>
      <left/>
      <right/>
      <top/>
      <bottom style="medium">
        <color theme="3"/>
      </bottom>
      <diagonal/>
    </border>
    <border>
      <left style="medium">
        <color theme="3"/>
      </left>
      <right style="medium">
        <color theme="3"/>
      </right>
      <top style="medium">
        <color theme="3"/>
      </top>
      <bottom style="medium">
        <color theme="3"/>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top style="thin">
        <color theme="4" tint="0.39991454817346722"/>
      </top>
      <bottom/>
      <diagonal/>
    </border>
    <border>
      <left style="thin">
        <color theme="3" tint="0.59999389629810485"/>
      </left>
      <right/>
      <top/>
      <bottom/>
      <diagonal/>
    </border>
    <border>
      <left style="thin">
        <color theme="4" tint="0.39994506668294322"/>
      </left>
      <right style="thin">
        <color theme="4" tint="0.39994506668294322"/>
      </right>
      <top style="thin">
        <color theme="4" tint="0.39991454817346722"/>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double">
        <color indexed="64"/>
      </bottom>
      <diagonal/>
    </border>
    <border>
      <left style="medium">
        <color theme="3"/>
      </left>
      <right style="medium">
        <color theme="3"/>
      </right>
      <top style="medium">
        <color theme="3"/>
      </top>
      <bottom style="thin">
        <color theme="3"/>
      </bottom>
      <diagonal/>
    </border>
    <border>
      <left style="thin">
        <color rgb="FFCCCCFF"/>
      </left>
      <right style="thin">
        <color rgb="FFCCCCFF"/>
      </right>
      <top style="thin">
        <color rgb="FFCCCCFF"/>
      </top>
      <bottom style="thin">
        <color rgb="FFCCCCFF"/>
      </bottom>
      <diagonal/>
    </border>
    <border>
      <left style="medium">
        <color theme="3"/>
      </left>
      <right style="medium">
        <color theme="3"/>
      </right>
      <top/>
      <bottom style="medium">
        <color theme="4"/>
      </bottom>
      <diagonal/>
    </border>
    <border>
      <left style="medium">
        <color theme="3"/>
      </left>
      <right style="medium">
        <color theme="3"/>
      </right>
      <top style="medium">
        <color theme="4"/>
      </top>
      <bottom/>
      <diagonal/>
    </border>
    <border>
      <left style="medium">
        <color theme="3"/>
      </left>
      <right style="medium">
        <color theme="3"/>
      </right>
      <top style="medium">
        <color theme="3"/>
      </top>
      <bottom style="medium">
        <color theme="4"/>
      </bottom>
      <diagonal/>
    </border>
    <border>
      <left style="medium">
        <color theme="3"/>
      </left>
      <right style="medium">
        <color theme="3"/>
      </right>
      <top/>
      <bottom style="thin">
        <color theme="4"/>
      </bottom>
      <diagonal/>
    </border>
    <border>
      <left style="medium">
        <color theme="3"/>
      </left>
      <right style="medium">
        <color theme="3"/>
      </right>
      <top style="thin">
        <color theme="4"/>
      </top>
      <bottom/>
      <diagonal/>
    </border>
  </borders>
  <cellStyleXfs count="14">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0" fontId="23" fillId="0" borderId="0"/>
    <xf numFmtId="0" fontId="27" fillId="0" borderId="0"/>
    <xf numFmtId="44" fontId="14" fillId="0" borderId="0" applyFont="0" applyFill="0" applyBorder="0" applyAlignment="0" applyProtection="0"/>
    <xf numFmtId="43" fontId="14" fillId="0" borderId="0" applyFont="0" applyFill="0" applyBorder="0" applyAlignment="0" applyProtection="0"/>
    <xf numFmtId="0" fontId="14" fillId="0" borderId="0"/>
    <xf numFmtId="0" fontId="33" fillId="0" borderId="0"/>
  </cellStyleXfs>
  <cellXfs count="250">
    <xf numFmtId="0" fontId="0" fillId="0" borderId="0" xfId="0"/>
    <xf numFmtId="0" fontId="3" fillId="2" borderId="1" xfId="1" applyFont="1" applyFill="1" applyBorder="1" applyAlignment="1">
      <alignment horizontal="centerContinuous"/>
    </xf>
    <xf numFmtId="0" fontId="3" fillId="2" borderId="2" xfId="1" applyFont="1" applyFill="1" applyBorder="1" applyAlignment="1">
      <alignment horizontal="centerContinuous"/>
    </xf>
    <xf numFmtId="0" fontId="3" fillId="2" borderId="3" xfId="1" applyFont="1" applyFill="1" applyBorder="1" applyAlignment="1">
      <alignment horizontal="centerContinuous"/>
    </xf>
    <xf numFmtId="0" fontId="3" fillId="2" borderId="4" xfId="1" applyFont="1" applyFill="1" applyBorder="1" applyAlignment="1">
      <alignment horizontal="centerContinuous"/>
    </xf>
    <xf numFmtId="0" fontId="3" fillId="2" borderId="5" xfId="1" applyFont="1" applyFill="1" applyBorder="1" applyAlignment="1">
      <alignment horizontal="centerContinuous"/>
    </xf>
    <xf numFmtId="0" fontId="3" fillId="2" borderId="6" xfId="1" applyFont="1" applyFill="1" applyBorder="1" applyAlignment="1">
      <alignment horizontal="centerContinuous"/>
    </xf>
    <xf numFmtId="0" fontId="4" fillId="3" borderId="7" xfId="1" applyFont="1" applyFill="1" applyBorder="1" applyAlignment="1">
      <alignment horizontal="center"/>
    </xf>
    <xf numFmtId="0" fontId="4" fillId="3" borderId="8" xfId="1" applyFont="1" applyFill="1" applyBorder="1" applyAlignment="1">
      <alignment horizontal="center"/>
    </xf>
    <xf numFmtId="164" fontId="1" fillId="0" borderId="9" xfId="1" applyNumberFormat="1" applyBorder="1"/>
    <xf numFmtId="0" fontId="3" fillId="2" borderId="0" xfId="1" applyFont="1" applyFill="1" applyAlignment="1">
      <alignment horizontal="centerContinuous"/>
    </xf>
    <xf numFmtId="0" fontId="3" fillId="2" borderId="0" xfId="1" applyFont="1" applyFill="1" applyAlignment="1">
      <alignment horizontal="center"/>
    </xf>
    <xf numFmtId="0" fontId="4" fillId="3" borderId="0" xfId="1" applyFont="1" applyFill="1" applyAlignment="1">
      <alignment horizontal="center"/>
    </xf>
    <xf numFmtId="164" fontId="4" fillId="3" borderId="0" xfId="1" applyNumberFormat="1" applyFont="1" applyFill="1"/>
    <xf numFmtId="0" fontId="0" fillId="4" borderId="0" xfId="0" applyFill="1"/>
    <xf numFmtId="0" fontId="1" fillId="4" borderId="0" xfId="1" applyFill="1"/>
    <xf numFmtId="0" fontId="6" fillId="4" borderId="0" xfId="1" applyFont="1" applyFill="1"/>
    <xf numFmtId="0" fontId="3" fillId="5" borderId="0" xfId="1" applyFont="1" applyFill="1" applyAlignment="1">
      <alignment horizontal="centerContinuous"/>
    </xf>
    <xf numFmtId="0" fontId="4" fillId="5" borderId="0" xfId="1" applyFont="1" applyFill="1" applyAlignment="1">
      <alignment horizontal="center"/>
    </xf>
    <xf numFmtId="164" fontId="1" fillId="4" borderId="0" xfId="1" applyNumberFormat="1" applyFill="1"/>
    <xf numFmtId="165" fontId="4" fillId="5" borderId="0" xfId="2" applyNumberFormat="1" applyFont="1" applyFill="1" applyBorder="1"/>
    <xf numFmtId="0" fontId="2" fillId="4" borderId="0" xfId="1" applyFont="1" applyFill="1"/>
    <xf numFmtId="164" fontId="1" fillId="4" borderId="10" xfId="1" applyNumberFormat="1" applyFill="1" applyBorder="1"/>
    <xf numFmtId="0" fontId="10" fillId="4" borderId="0" xfId="1" applyFont="1" applyFill="1"/>
    <xf numFmtId="0" fontId="0" fillId="4" borderId="13" xfId="0" applyFill="1" applyBorder="1"/>
    <xf numFmtId="0" fontId="0" fillId="4" borderId="14" xfId="0" applyFill="1" applyBorder="1"/>
    <xf numFmtId="0" fontId="1" fillId="0" borderId="9" xfId="1" applyBorder="1" applyAlignment="1">
      <alignment horizontal="center"/>
    </xf>
    <xf numFmtId="0" fontId="0" fillId="4" borderId="26" xfId="0" applyFill="1" applyBorder="1" applyAlignment="1">
      <alignment wrapText="1"/>
    </xf>
    <xf numFmtId="0" fontId="13" fillId="4" borderId="26" xfId="0" applyFont="1" applyFill="1" applyBorder="1" applyAlignment="1">
      <alignment horizontal="left" wrapText="1"/>
    </xf>
    <xf numFmtId="3" fontId="12" fillId="7" borderId="24" xfId="0" applyNumberFormat="1" applyFont="1" applyFill="1" applyBorder="1" applyAlignment="1">
      <alignment horizontal="center"/>
    </xf>
    <xf numFmtId="39" fontId="12" fillId="7" borderId="24" xfId="0" applyNumberFormat="1" applyFont="1" applyFill="1" applyBorder="1" applyAlignment="1">
      <alignment horizontal="center"/>
    </xf>
    <xf numFmtId="42" fontId="12" fillId="7" borderId="24" xfId="0" applyNumberFormat="1" applyFont="1" applyFill="1" applyBorder="1" applyAlignment="1">
      <alignment horizontal="center"/>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0" fillId="4" borderId="26" xfId="0" applyFill="1" applyBorder="1" applyAlignment="1">
      <alignment vertical="center"/>
    </xf>
    <xf numFmtId="41" fontId="13" fillId="4" borderId="26" xfId="0" applyNumberFormat="1" applyFont="1" applyFill="1" applyBorder="1" applyAlignment="1">
      <alignment horizontal="center" vertical="center" wrapText="1"/>
    </xf>
    <xf numFmtId="41" fontId="13" fillId="4" borderId="26" xfId="0" applyNumberFormat="1" applyFont="1" applyFill="1" applyBorder="1" applyAlignment="1">
      <alignment vertical="center"/>
    </xf>
    <xf numFmtId="0" fontId="13" fillId="4" borderId="0" xfId="0" applyFont="1" applyFill="1" applyAlignment="1">
      <alignment horizontal="right" wrapText="1"/>
    </xf>
    <xf numFmtId="0" fontId="13" fillId="4" borderId="0" xfId="0" applyFont="1" applyFill="1" applyAlignment="1">
      <alignment horizontal="right"/>
    </xf>
    <xf numFmtId="164" fontId="13" fillId="4" borderId="0" xfId="3" applyNumberFormat="1" applyFont="1" applyFill="1"/>
    <xf numFmtId="165" fontId="13" fillId="4" borderId="0" xfId="4" applyNumberFormat="1" applyFont="1" applyFill="1" applyBorder="1"/>
    <xf numFmtId="167" fontId="14" fillId="9" borderId="0" xfId="0" applyNumberFormat="1" applyFont="1" applyFill="1"/>
    <xf numFmtId="166" fontId="14" fillId="9" borderId="0" xfId="5" applyNumberFormat="1" applyFont="1" applyFill="1"/>
    <xf numFmtId="0" fontId="14" fillId="4" borderId="0" xfId="0" applyFont="1" applyFill="1"/>
    <xf numFmtId="43" fontId="14" fillId="9" borderId="13" xfId="3" applyFont="1" applyFill="1" applyBorder="1"/>
    <xf numFmtId="0" fontId="14" fillId="9" borderId="0" xfId="0" applyFont="1" applyFill="1"/>
    <xf numFmtId="43" fontId="14" fillId="9" borderId="0" xfId="3" applyFont="1" applyFill="1" applyBorder="1"/>
    <xf numFmtId="166" fontId="14" fillId="9" borderId="0" xfId="5" applyNumberFormat="1" applyFont="1" applyFill="1" applyBorder="1"/>
    <xf numFmtId="0" fontId="15" fillId="4" borderId="0" xfId="0" applyFont="1" applyFill="1"/>
    <xf numFmtId="0" fontId="18" fillId="4" borderId="0" xfId="0" applyFont="1" applyFill="1"/>
    <xf numFmtId="43" fontId="16" fillId="4" borderId="0" xfId="3" applyFont="1" applyFill="1"/>
    <xf numFmtId="166" fontId="16" fillId="4" borderId="0" xfId="5" applyNumberFormat="1" applyFont="1" applyFill="1"/>
    <xf numFmtId="43" fontId="16" fillId="4" borderId="0" xfId="3" applyFont="1" applyFill="1" applyAlignment="1" applyProtection="1">
      <alignment horizontal="center"/>
    </xf>
    <xf numFmtId="0" fontId="16" fillId="4" borderId="0" xfId="0" applyFont="1" applyFill="1" applyAlignment="1">
      <alignment horizontal="left"/>
    </xf>
    <xf numFmtId="0" fontId="16" fillId="4" borderId="0" xfId="0" applyFont="1" applyFill="1" applyAlignment="1">
      <alignment horizontal="centerContinuous"/>
    </xf>
    <xf numFmtId="43" fontId="16" fillId="4" borderId="13" xfId="3" applyFont="1" applyFill="1" applyBorder="1" applyAlignment="1" applyProtection="1">
      <alignment horizontal="center"/>
    </xf>
    <xf numFmtId="166" fontId="16" fillId="4" borderId="13" xfId="5" applyNumberFormat="1" applyFont="1" applyFill="1" applyBorder="1" applyAlignment="1" applyProtection="1">
      <alignment horizontal="center"/>
    </xf>
    <xf numFmtId="166" fontId="17" fillId="4" borderId="0" xfId="5" applyNumberFormat="1" applyFont="1" applyFill="1" applyBorder="1"/>
    <xf numFmtId="43" fontId="17" fillId="4" borderId="0" xfId="3" applyFont="1" applyFill="1" applyBorder="1"/>
    <xf numFmtId="43" fontId="17" fillId="4" borderId="13" xfId="3" applyFont="1" applyFill="1" applyBorder="1"/>
    <xf numFmtId="0" fontId="17" fillId="4" borderId="0" xfId="0" applyFont="1" applyFill="1"/>
    <xf numFmtId="0" fontId="16" fillId="4" borderId="0" xfId="0" applyFont="1" applyFill="1"/>
    <xf numFmtId="168" fontId="17" fillId="4" borderId="0" xfId="0" quotePrefix="1" applyNumberFormat="1" applyFont="1" applyFill="1" applyAlignment="1">
      <alignment horizontal="left"/>
    </xf>
    <xf numFmtId="165" fontId="17" fillId="4" borderId="0" xfId="4" applyNumberFormat="1" applyFont="1" applyFill="1" applyBorder="1"/>
    <xf numFmtId="0" fontId="17" fillId="4" borderId="15" xfId="0" applyFont="1" applyFill="1" applyBorder="1" applyAlignment="1">
      <alignment horizontal="left"/>
    </xf>
    <xf numFmtId="165" fontId="17" fillId="4" borderId="14" xfId="4" applyNumberFormat="1" applyFont="1" applyFill="1" applyBorder="1"/>
    <xf numFmtId="43" fontId="17" fillId="4" borderId="14" xfId="3" applyFont="1" applyFill="1" applyBorder="1"/>
    <xf numFmtId="43" fontId="17" fillId="4" borderId="18" xfId="3" applyFont="1" applyFill="1" applyBorder="1"/>
    <xf numFmtId="0" fontId="17" fillId="4" borderId="16" xfId="0" applyFont="1" applyFill="1" applyBorder="1" applyAlignment="1">
      <alignment horizontal="left"/>
    </xf>
    <xf numFmtId="43" fontId="17" fillId="4" borderId="19" xfId="3" applyFont="1" applyFill="1" applyBorder="1"/>
    <xf numFmtId="0" fontId="17" fillId="4" borderId="17" xfId="0" applyFont="1" applyFill="1" applyBorder="1" applyAlignment="1">
      <alignment horizontal="left"/>
    </xf>
    <xf numFmtId="0" fontId="17" fillId="4" borderId="13" xfId="0" applyFont="1" applyFill="1" applyBorder="1"/>
    <xf numFmtId="166" fontId="17" fillId="4" borderId="13" xfId="5" applyNumberFormat="1" applyFont="1" applyFill="1" applyBorder="1"/>
    <xf numFmtId="165" fontId="17" fillId="4" borderId="13" xfId="4" applyNumberFormat="1" applyFont="1" applyFill="1" applyBorder="1"/>
    <xf numFmtId="43" fontId="17" fillId="4" borderId="20" xfId="3" applyFont="1" applyFill="1" applyBorder="1"/>
    <xf numFmtId="0" fontId="17" fillId="4" borderId="0" xfId="0" applyFont="1" applyFill="1" applyAlignment="1">
      <alignment horizontal="left"/>
    </xf>
    <xf numFmtId="0" fontId="1" fillId="4" borderId="10" xfId="1" applyFill="1" applyBorder="1" applyAlignment="1">
      <alignment horizontal="center"/>
    </xf>
    <xf numFmtId="0" fontId="0" fillId="4" borderId="9" xfId="1" applyFont="1" applyFill="1" applyBorder="1" applyAlignment="1">
      <alignment horizontal="left"/>
    </xf>
    <xf numFmtId="164" fontId="1" fillId="4" borderId="9" xfId="1" applyNumberFormat="1" applyFill="1" applyBorder="1"/>
    <xf numFmtId="164" fontId="9" fillId="6" borderId="0" xfId="1" applyNumberFormat="1" applyFont="1" applyFill="1"/>
    <xf numFmtId="165" fontId="9" fillId="6" borderId="0" xfId="2" applyNumberFormat="1" applyFont="1" applyFill="1" applyBorder="1" applyAlignment="1"/>
    <xf numFmtId="164" fontId="8" fillId="10" borderId="12" xfId="1" applyNumberFormat="1" applyFont="1" applyFill="1" applyBorder="1"/>
    <xf numFmtId="165" fontId="8" fillId="10" borderId="12" xfId="2" applyNumberFormat="1" applyFont="1" applyFill="1" applyBorder="1" applyAlignment="1"/>
    <xf numFmtId="165" fontId="8" fillId="10" borderId="31" xfId="2" applyNumberFormat="1" applyFont="1" applyFill="1" applyBorder="1" applyAlignment="1"/>
    <xf numFmtId="164" fontId="8" fillId="10" borderId="9" xfId="1" applyNumberFormat="1" applyFont="1" applyFill="1" applyBorder="1"/>
    <xf numFmtId="165" fontId="8" fillId="10" borderId="9" xfId="2" applyNumberFormat="1" applyFont="1" applyFill="1" applyBorder="1"/>
    <xf numFmtId="43" fontId="20" fillId="4" borderId="0" xfId="3" applyFont="1" applyFill="1"/>
    <xf numFmtId="43" fontId="20" fillId="4" borderId="0" xfId="3" applyFont="1" applyFill="1" applyBorder="1"/>
    <xf numFmtId="43" fontId="20" fillId="9" borderId="0" xfId="3" applyFont="1" applyFill="1" applyBorder="1"/>
    <xf numFmtId="166" fontId="20" fillId="9" borderId="0" xfId="5" applyNumberFormat="1" applyFont="1" applyFill="1" applyBorder="1"/>
    <xf numFmtId="0" fontId="20" fillId="4" borderId="0" xfId="0" applyFont="1" applyFill="1"/>
    <xf numFmtId="0" fontId="0" fillId="4" borderId="0" xfId="1" applyFont="1" applyFill="1"/>
    <xf numFmtId="0" fontId="0" fillId="0" borderId="38" xfId="0" applyBorder="1" applyAlignment="1">
      <alignment vertical="center" wrapText="1"/>
    </xf>
    <xf numFmtId="42" fontId="22" fillId="7" borderId="34" xfId="0" applyNumberFormat="1" applyFont="1" applyFill="1" applyBorder="1" applyAlignment="1">
      <alignment vertical="center"/>
    </xf>
    <xf numFmtId="0" fontId="21" fillId="11" borderId="37" xfId="0" applyFont="1" applyFill="1" applyBorder="1" applyAlignment="1">
      <alignment vertical="center" wrapText="1"/>
    </xf>
    <xf numFmtId="164" fontId="8" fillId="7" borderId="34" xfId="3" applyNumberFormat="1" applyFont="1" applyFill="1" applyBorder="1" applyAlignment="1">
      <alignment horizontal="center" vertical="center"/>
    </xf>
    <xf numFmtId="164" fontId="8" fillId="7" borderId="35" xfId="3" applyNumberFormat="1" applyFont="1" applyFill="1" applyBorder="1" applyAlignment="1">
      <alignment horizontal="center" vertical="center"/>
    </xf>
    <xf numFmtId="0" fontId="24" fillId="7" borderId="17" xfId="3" applyNumberFormat="1" applyFont="1" applyFill="1" applyBorder="1" applyAlignment="1">
      <alignment horizontal="center" vertical="center"/>
    </xf>
    <xf numFmtId="3" fontId="24" fillId="7" borderId="20" xfId="3" applyNumberFormat="1" applyFont="1" applyFill="1" applyBorder="1" applyAlignment="1">
      <alignment horizontal="center" vertical="center"/>
    </xf>
    <xf numFmtId="0" fontId="4" fillId="7" borderId="36" xfId="0" applyFont="1" applyFill="1" applyBorder="1" applyAlignment="1">
      <alignment horizontal="center" wrapText="1"/>
    </xf>
    <xf numFmtId="0" fontId="4" fillId="7" borderId="37" xfId="0" applyFont="1" applyFill="1" applyBorder="1" applyAlignment="1">
      <alignment horizontal="center" vertical="center" wrapText="1"/>
    </xf>
    <xf numFmtId="0" fontId="4" fillId="11" borderId="37" xfId="0" applyFont="1" applyFill="1" applyBorder="1" applyAlignment="1">
      <alignment vertical="center"/>
    </xf>
    <xf numFmtId="42" fontId="0" fillId="0" borderId="38" xfId="0" applyNumberFormat="1" applyBorder="1" applyAlignment="1">
      <alignment vertical="center"/>
    </xf>
    <xf numFmtId="0" fontId="26" fillId="8" borderId="37" xfId="0" applyFont="1" applyFill="1" applyBorder="1" applyAlignment="1">
      <alignment vertical="center"/>
    </xf>
    <xf numFmtId="165" fontId="0" fillId="0" borderId="38" xfId="0" applyNumberFormat="1" applyBorder="1" applyAlignment="1">
      <alignment vertical="center"/>
    </xf>
    <xf numFmtId="0" fontId="25" fillId="4" borderId="0" xfId="0" applyFont="1" applyFill="1"/>
    <xf numFmtId="0" fontId="5" fillId="4" borderId="0" xfId="0" applyFont="1" applyFill="1" applyAlignment="1">
      <alignment horizontal="center"/>
    </xf>
    <xf numFmtId="0" fontId="5" fillId="4" borderId="0" xfId="0" applyFont="1" applyFill="1" applyAlignment="1">
      <alignment horizontal="centerContinuous"/>
    </xf>
    <xf numFmtId="39" fontId="12" fillId="7" borderId="40" xfId="0" applyNumberFormat="1" applyFont="1" applyFill="1" applyBorder="1" applyAlignment="1">
      <alignment horizontal="center" wrapText="1"/>
    </xf>
    <xf numFmtId="10" fontId="20" fillId="4" borderId="0" xfId="5" applyNumberFormat="1" applyFont="1" applyFill="1"/>
    <xf numFmtId="41" fontId="1" fillId="4" borderId="10" xfId="1" applyNumberFormat="1" applyFill="1" applyBorder="1"/>
    <xf numFmtId="41" fontId="1" fillId="0" borderId="9" xfId="1" applyNumberFormat="1" applyBorder="1"/>
    <xf numFmtId="42" fontId="4" fillId="3" borderId="0" xfId="2" applyNumberFormat="1" applyFont="1" applyFill="1" applyBorder="1"/>
    <xf numFmtId="0" fontId="0" fillId="4" borderId="0" xfId="0" applyFill="1" applyAlignment="1">
      <alignment horizontal="left" wrapText="1"/>
    </xf>
    <xf numFmtId="0" fontId="0" fillId="4" borderId="0" xfId="0" applyFill="1" applyAlignment="1">
      <alignment horizontal="center"/>
    </xf>
    <xf numFmtId="0" fontId="21" fillId="4" borderId="0" xfId="0" quotePrefix="1" applyFont="1" applyFill="1" applyAlignment="1">
      <alignment horizontal="left"/>
    </xf>
    <xf numFmtId="0" fontId="21" fillId="4" borderId="0" xfId="0" applyFont="1" applyFill="1"/>
    <xf numFmtId="0" fontId="21" fillId="4" borderId="0" xfId="0" applyFont="1" applyFill="1" applyAlignment="1">
      <alignment horizontal="left"/>
    </xf>
    <xf numFmtId="0" fontId="21" fillId="0" borderId="0" xfId="0" applyFont="1" applyAlignment="1">
      <alignment horizontal="center" wrapText="1"/>
    </xf>
    <xf numFmtId="44" fontId="32" fillId="12" borderId="41" xfId="4" applyFont="1" applyFill="1" applyBorder="1" applyAlignment="1">
      <alignment horizontal="center" vertical="top"/>
    </xf>
    <xf numFmtId="3" fontId="32" fillId="12" borderId="41" xfId="0" applyNumberFormat="1" applyFont="1" applyFill="1" applyBorder="1" applyAlignment="1">
      <alignment horizontal="center" vertical="top"/>
    </xf>
    <xf numFmtId="170" fontId="32" fillId="12" borderId="41" xfId="0" applyNumberFormat="1" applyFont="1" applyFill="1" applyBorder="1" applyAlignment="1">
      <alignment horizontal="right" vertical="top"/>
    </xf>
    <xf numFmtId="44" fontId="0" fillId="0" borderId="0" xfId="4" applyFont="1" applyAlignment="1">
      <alignment horizontal="center"/>
    </xf>
    <xf numFmtId="164" fontId="0" fillId="0" borderId="0" xfId="3" applyNumberFormat="1" applyFont="1"/>
    <xf numFmtId="171" fontId="0" fillId="0" borderId="0" xfId="3" applyNumberFormat="1" applyFont="1" applyAlignment="1">
      <alignment horizontal="left"/>
    </xf>
    <xf numFmtId="10" fontId="0" fillId="0" borderId="0" xfId="0" applyNumberFormat="1"/>
    <xf numFmtId="170" fontId="0" fillId="0" borderId="0" xfId="0" applyNumberFormat="1"/>
    <xf numFmtId="0" fontId="32" fillId="12" borderId="41" xfId="0" applyFont="1" applyFill="1" applyBorder="1" applyAlignment="1">
      <alignment horizontal="right" vertical="top"/>
    </xf>
    <xf numFmtId="171" fontId="0" fillId="0" borderId="0" xfId="0" applyNumberFormat="1"/>
    <xf numFmtId="172" fontId="0" fillId="0" borderId="0" xfId="0" applyNumberFormat="1"/>
    <xf numFmtId="173" fontId="0" fillId="0" borderId="0" xfId="0" applyNumberFormat="1"/>
    <xf numFmtId="0" fontId="0" fillId="0" borderId="0" xfId="0" applyAlignment="1">
      <alignment horizontal="center"/>
    </xf>
    <xf numFmtId="0" fontId="0" fillId="0" borderId="0" xfId="0" applyAlignment="1">
      <alignment horizontal="right"/>
    </xf>
    <xf numFmtId="165" fontId="0" fillId="0" borderId="0" xfId="4" applyNumberFormat="1" applyFont="1" applyAlignment="1">
      <alignment horizontal="center"/>
    </xf>
    <xf numFmtId="164" fontId="0" fillId="0" borderId="0" xfId="3" applyNumberFormat="1" applyFont="1" applyAlignment="1">
      <alignment horizontal="center"/>
    </xf>
    <xf numFmtId="174" fontId="0" fillId="0" borderId="0" xfId="3" applyNumberFormat="1" applyFont="1" applyAlignment="1">
      <alignment horizontal="right"/>
    </xf>
    <xf numFmtId="175" fontId="0" fillId="0" borderId="0" xfId="0" applyNumberFormat="1"/>
    <xf numFmtId="176" fontId="0" fillId="0" borderId="0" xfId="0" applyNumberFormat="1"/>
    <xf numFmtId="2" fontId="0" fillId="0" borderId="0" xfId="0" applyNumberFormat="1" applyAlignment="1">
      <alignment horizontal="center"/>
    </xf>
    <xf numFmtId="177" fontId="0" fillId="0" borderId="0" xfId="0" applyNumberFormat="1"/>
    <xf numFmtId="178" fontId="0" fillId="0" borderId="0" xfId="0" applyNumberFormat="1"/>
    <xf numFmtId="179" fontId="0" fillId="0" borderId="0" xfId="0" applyNumberFormat="1"/>
    <xf numFmtId="0" fontId="21" fillId="0" borderId="0" xfId="0" applyFont="1"/>
    <xf numFmtId="42" fontId="0" fillId="0" borderId="0" xfId="0" applyNumberFormat="1"/>
    <xf numFmtId="42" fontId="13" fillId="4" borderId="25" xfId="0" applyNumberFormat="1" applyFont="1" applyFill="1" applyBorder="1" applyAlignment="1">
      <alignment horizontal="center" vertical="center" wrapText="1"/>
    </xf>
    <xf numFmtId="42" fontId="13" fillId="4" borderId="25" xfId="0" applyNumberFormat="1" applyFont="1" applyFill="1" applyBorder="1" applyAlignment="1">
      <alignment vertical="center"/>
    </xf>
    <xf numFmtId="42" fontId="13" fillId="4" borderId="26" xfId="0" applyNumberFormat="1" applyFont="1" applyFill="1" applyBorder="1" applyAlignment="1">
      <alignment horizontal="center" vertical="center" wrapText="1"/>
    </xf>
    <xf numFmtId="42" fontId="13" fillId="4" borderId="26" xfId="0" applyNumberFormat="1" applyFont="1" applyFill="1" applyBorder="1" applyAlignment="1">
      <alignment vertical="center"/>
    </xf>
    <xf numFmtId="3" fontId="0" fillId="0" borderId="0" xfId="0" applyNumberFormat="1"/>
    <xf numFmtId="41" fontId="0" fillId="0" borderId="0" xfId="0" applyNumberFormat="1"/>
    <xf numFmtId="0" fontId="4" fillId="4" borderId="11" xfId="1" applyFont="1" applyFill="1" applyBorder="1" applyAlignment="1">
      <alignment horizontal="center"/>
    </xf>
    <xf numFmtId="0" fontId="7" fillId="4" borderId="11" xfId="1" applyFont="1" applyFill="1" applyBorder="1" applyAlignment="1">
      <alignment horizontal="center" vertical="center"/>
    </xf>
    <xf numFmtId="0" fontId="4" fillId="4" borderId="33" xfId="1" applyFont="1" applyFill="1" applyBorder="1" applyAlignment="1">
      <alignment horizontal="center"/>
    </xf>
    <xf numFmtId="41" fontId="20" fillId="4" borderId="0" xfId="3" applyNumberFormat="1" applyFont="1" applyFill="1" applyBorder="1"/>
    <xf numFmtId="41" fontId="14" fillId="9" borderId="13" xfId="3" applyNumberFormat="1" applyFont="1" applyFill="1" applyBorder="1"/>
    <xf numFmtId="41" fontId="20" fillId="4" borderId="0" xfId="3" applyNumberFormat="1" applyFont="1" applyFill="1"/>
    <xf numFmtId="41" fontId="14" fillId="9" borderId="0" xfId="3" applyNumberFormat="1" applyFont="1" applyFill="1" applyBorder="1"/>
    <xf numFmtId="41" fontId="20" fillId="9" borderId="0" xfId="3" applyNumberFormat="1" applyFont="1" applyFill="1" applyBorder="1"/>
    <xf numFmtId="164" fontId="14" fillId="0" borderId="0" xfId="11" applyNumberFormat="1" applyFont="1" applyBorder="1" applyAlignment="1" applyProtection="1">
      <protection locked="0"/>
    </xf>
    <xf numFmtId="41" fontId="14" fillId="0" borderId="0" xfId="10" applyNumberFormat="1" applyFont="1" applyAlignment="1"/>
    <xf numFmtId="164" fontId="14" fillId="0" borderId="13" xfId="11" applyNumberFormat="1" applyFont="1" applyBorder="1" applyAlignment="1" applyProtection="1">
      <protection locked="0"/>
    </xf>
    <xf numFmtId="41" fontId="14" fillId="0" borderId="13" xfId="10" applyNumberFormat="1" applyFont="1" applyBorder="1" applyAlignment="1"/>
    <xf numFmtId="165" fontId="14" fillId="0" borderId="39" xfId="10" applyNumberFormat="1" applyFont="1" applyBorder="1" applyAlignment="1"/>
    <xf numFmtId="165" fontId="14" fillId="0" borderId="0" xfId="10" applyNumberFormat="1" applyFont="1" applyBorder="1" applyAlignment="1"/>
    <xf numFmtId="165" fontId="28" fillId="0" borderId="0" xfId="10" applyNumberFormat="1" applyFont="1" applyBorder="1" applyAlignment="1"/>
    <xf numFmtId="43" fontId="14" fillId="0" borderId="0" xfId="11" applyFont="1" applyAlignment="1"/>
    <xf numFmtId="37" fontId="14" fillId="0" borderId="0" xfId="10" applyNumberFormat="1" applyFont="1" applyAlignment="1"/>
    <xf numFmtId="43" fontId="14" fillId="0" borderId="0" xfId="11" applyFont="1" applyBorder="1" applyAlignment="1"/>
    <xf numFmtId="41" fontId="14" fillId="0" borderId="0" xfId="11" applyNumberFormat="1" applyFont="1" applyAlignment="1"/>
    <xf numFmtId="41" fontId="14" fillId="0" borderId="13" xfId="11" applyNumberFormat="1" applyFont="1" applyBorder="1" applyAlignment="1"/>
    <xf numFmtId="0" fontId="0" fillId="4" borderId="9" xfId="1" applyFont="1" applyFill="1" applyBorder="1" applyAlignment="1">
      <alignment horizontal="left" wrapText="1"/>
    </xf>
    <xf numFmtId="0" fontId="0" fillId="4" borderId="42" xfId="0" applyFill="1" applyBorder="1" applyAlignment="1">
      <alignment horizontal="center" vertical="center"/>
    </xf>
    <xf numFmtId="0" fontId="13" fillId="4" borderId="43" xfId="0" applyFont="1" applyFill="1" applyBorder="1" applyAlignment="1">
      <alignment horizontal="left" vertical="center" wrapText="1"/>
    </xf>
    <xf numFmtId="0" fontId="13" fillId="4" borderId="44" xfId="0" quotePrefix="1" applyFont="1" applyFill="1" applyBorder="1" applyAlignment="1">
      <alignment horizontal="center" vertical="center" wrapText="1"/>
    </xf>
    <xf numFmtId="42" fontId="13" fillId="4" borderId="43" xfId="0" applyNumberFormat="1" applyFont="1" applyFill="1" applyBorder="1" applyAlignment="1">
      <alignment horizontal="center" vertical="center" wrapText="1"/>
    </xf>
    <xf numFmtId="0" fontId="0" fillId="4" borderId="42" xfId="0" applyFill="1" applyBorder="1" applyAlignment="1">
      <alignment vertical="center"/>
    </xf>
    <xf numFmtId="42" fontId="13" fillId="4" borderId="43" xfId="0" applyNumberFormat="1" applyFont="1" applyFill="1" applyBorder="1" applyAlignment="1">
      <alignment vertical="center"/>
    </xf>
    <xf numFmtId="0" fontId="8" fillId="7" borderId="14" xfId="3" applyNumberFormat="1" applyFont="1" applyFill="1" applyBorder="1" applyAlignment="1">
      <alignment horizontal="center" vertical="center"/>
    </xf>
    <xf numFmtId="0" fontId="8" fillId="7" borderId="18" xfId="3" applyNumberFormat="1" applyFont="1" applyFill="1" applyBorder="1" applyAlignment="1">
      <alignment horizontal="center" vertical="center"/>
    </xf>
    <xf numFmtId="42" fontId="1" fillId="4" borderId="10" xfId="1" applyNumberFormat="1" applyFill="1" applyBorder="1"/>
    <xf numFmtId="42" fontId="1" fillId="4" borderId="9" xfId="1" applyNumberFormat="1" applyFill="1" applyBorder="1"/>
    <xf numFmtId="42" fontId="20" fillId="4" borderId="0" xfId="3" applyNumberFormat="1" applyFont="1" applyFill="1"/>
    <xf numFmtId="42" fontId="20" fillId="9" borderId="0" xfId="3" applyNumberFormat="1" applyFont="1" applyFill="1" applyBorder="1"/>
    <xf numFmtId="42" fontId="0" fillId="0" borderId="35" xfId="0" applyNumberFormat="1" applyBorder="1" applyAlignment="1">
      <alignment vertical="center"/>
    </xf>
    <xf numFmtId="165" fontId="0" fillId="0" borderId="35" xfId="0" applyNumberFormat="1" applyBorder="1" applyAlignment="1">
      <alignment vertical="center"/>
    </xf>
    <xf numFmtId="41" fontId="1" fillId="0" borderId="0" xfId="1" applyNumberFormat="1"/>
    <xf numFmtId="0" fontId="14" fillId="0" borderId="0" xfId="13" applyFont="1"/>
    <xf numFmtId="41" fontId="14" fillId="0" borderId="0" xfId="13" applyNumberFormat="1" applyFont="1"/>
    <xf numFmtId="0" fontId="33" fillId="0" borderId="0" xfId="13"/>
    <xf numFmtId="42" fontId="33" fillId="0" borderId="39" xfId="13" applyNumberFormat="1" applyBorder="1"/>
    <xf numFmtId="42" fontId="14" fillId="0" borderId="0" xfId="13" applyNumberFormat="1" applyFont="1"/>
    <xf numFmtId="41" fontId="33" fillId="0" borderId="13" xfId="13" applyNumberFormat="1" applyBorder="1"/>
    <xf numFmtId="41" fontId="33" fillId="0" borderId="0" xfId="13" applyNumberFormat="1"/>
    <xf numFmtId="41" fontId="14" fillId="0" borderId="13" xfId="13" applyNumberFormat="1" applyFont="1" applyBorder="1"/>
    <xf numFmtId="169" fontId="14" fillId="0" borderId="0" xfId="13" applyNumberFormat="1" applyFont="1"/>
    <xf numFmtId="0" fontId="14" fillId="0" borderId="0" xfId="13" applyFont="1" applyAlignment="1">
      <alignment horizontal="center"/>
    </xf>
    <xf numFmtId="41" fontId="14" fillId="0" borderId="0" xfId="10" applyNumberFormat="1" applyFont="1" applyBorder="1" applyAlignment="1"/>
    <xf numFmtId="41" fontId="14" fillId="0" borderId="0" xfId="11" applyNumberFormat="1" applyFont="1" applyBorder="1" applyAlignment="1"/>
    <xf numFmtId="164" fontId="14" fillId="0" borderId="0" xfId="13" applyNumberFormat="1" applyFont="1"/>
    <xf numFmtId="0" fontId="29" fillId="0" borderId="0" xfId="13" applyFont="1" applyAlignment="1">
      <alignment horizontal="center"/>
    </xf>
    <xf numFmtId="0" fontId="14" fillId="0" borderId="13" xfId="13" applyFont="1" applyBorder="1" applyAlignment="1">
      <alignment horizontal="centerContinuous"/>
    </xf>
    <xf numFmtId="0" fontId="33" fillId="0" borderId="13" xfId="13" applyBorder="1" applyAlignment="1">
      <alignment horizontal="centerContinuous"/>
    </xf>
    <xf numFmtId="0" fontId="33" fillId="0" borderId="0" xfId="13" applyAlignment="1">
      <alignment horizontal="centerContinuous"/>
    </xf>
    <xf numFmtId="41" fontId="14" fillId="0" borderId="13" xfId="11" applyNumberFormat="1" applyFont="1" applyBorder="1" applyAlignment="1" applyProtection="1">
      <protection locked="0"/>
    </xf>
    <xf numFmtId="41" fontId="14" fillId="0" borderId="0" xfId="11" applyNumberFormat="1" applyFont="1" applyBorder="1" applyAlignment="1" applyProtection="1">
      <protection locked="0"/>
    </xf>
    <xf numFmtId="0" fontId="34" fillId="0" borderId="0" xfId="13" applyFont="1" applyAlignment="1">
      <alignment horizontal="center"/>
    </xf>
    <xf numFmtId="0" fontId="28" fillId="0" borderId="0" xfId="13" applyFont="1"/>
    <xf numFmtId="0" fontId="30" fillId="0" borderId="0" xfId="13" applyFont="1" applyAlignment="1">
      <alignment horizontal="centerContinuous"/>
    </xf>
    <xf numFmtId="6" fontId="30" fillId="0" borderId="0" xfId="13" applyNumberFormat="1" applyFont="1" applyAlignment="1">
      <alignment horizontal="centerContinuous"/>
    </xf>
    <xf numFmtId="0" fontId="30" fillId="0" borderId="0" xfId="13" applyFont="1" applyAlignment="1">
      <alignment horizontal="center"/>
    </xf>
    <xf numFmtId="0" fontId="28" fillId="0" borderId="0" xfId="13" applyFont="1" applyAlignment="1">
      <alignment horizontal="centerContinuous"/>
    </xf>
    <xf numFmtId="0" fontId="30" fillId="0" borderId="0" xfId="13" applyFont="1"/>
    <xf numFmtId="0" fontId="31" fillId="0" borderId="0" xfId="13" applyFont="1" applyAlignment="1">
      <alignment horizontal="center"/>
    </xf>
    <xf numFmtId="0" fontId="31" fillId="0" borderId="0" xfId="13" applyFont="1" applyAlignment="1">
      <alignment horizontal="centerContinuous"/>
    </xf>
    <xf numFmtId="0" fontId="14" fillId="0" borderId="0" xfId="13" applyFont="1" applyAlignment="1">
      <alignment horizontal="centerContinuous"/>
    </xf>
    <xf numFmtId="0" fontId="31" fillId="0" borderId="0" xfId="13" applyFont="1"/>
    <xf numFmtId="0" fontId="1" fillId="4" borderId="0" xfId="1" applyFill="1" applyAlignment="1">
      <alignment horizontal="center"/>
    </xf>
    <xf numFmtId="41" fontId="0" fillId="0" borderId="9" xfId="1" applyNumberFormat="1" applyFont="1" applyBorder="1"/>
    <xf numFmtId="0" fontId="0" fillId="4" borderId="0" xfId="0" applyFill="1" applyAlignment="1">
      <alignment vertical="center"/>
    </xf>
    <xf numFmtId="0" fontId="35" fillId="4" borderId="45" xfId="0" applyFont="1" applyFill="1" applyBorder="1" applyAlignment="1">
      <alignment horizontal="center" vertical="center" wrapText="1"/>
    </xf>
    <xf numFmtId="0" fontId="13" fillId="4" borderId="45" xfId="0" applyFont="1" applyFill="1" applyBorder="1" applyAlignment="1">
      <alignment horizontal="left" wrapText="1"/>
    </xf>
    <xf numFmtId="0" fontId="13" fillId="4" borderId="46" xfId="0" applyFont="1" applyFill="1" applyBorder="1" applyAlignment="1">
      <alignment horizontal="center" vertical="center" wrapText="1"/>
    </xf>
    <xf numFmtId="0" fontId="3" fillId="2" borderId="0" xfId="1" applyFont="1" applyFill="1" applyAlignment="1">
      <alignment horizontal="center"/>
    </xf>
    <xf numFmtId="164" fontId="3" fillId="8" borderId="16" xfId="3" applyNumberFormat="1" applyFont="1" applyFill="1" applyBorder="1" applyAlignment="1">
      <alignment horizontal="center" vertical="center"/>
    </xf>
    <xf numFmtId="164" fontId="3" fillId="8" borderId="0" xfId="3" applyNumberFormat="1" applyFont="1" applyFill="1" applyBorder="1" applyAlignment="1">
      <alignment horizontal="center" vertical="center"/>
    </xf>
    <xf numFmtId="164" fontId="3" fillId="8" borderId="17" xfId="3" applyNumberFormat="1" applyFont="1" applyFill="1" applyBorder="1" applyAlignment="1">
      <alignment horizontal="center" vertical="center"/>
    </xf>
    <xf numFmtId="164" fontId="3" fillId="8" borderId="13" xfId="3" applyNumberFormat="1" applyFont="1" applyFill="1" applyBorder="1" applyAlignment="1">
      <alignment horizontal="center" vertical="center"/>
    </xf>
    <xf numFmtId="0" fontId="8" fillId="7" borderId="14" xfId="3" applyNumberFormat="1" applyFont="1" applyFill="1" applyBorder="1" applyAlignment="1">
      <alignment horizontal="center" vertical="center"/>
    </xf>
    <xf numFmtId="0" fontId="8" fillId="7" borderId="18" xfId="3" applyNumberFormat="1" applyFont="1" applyFill="1" applyBorder="1" applyAlignment="1">
      <alignment horizontal="center" vertical="center"/>
    </xf>
    <xf numFmtId="0" fontId="29" fillId="0" borderId="0" xfId="13" applyFont="1"/>
    <xf numFmtId="0" fontId="31" fillId="0" borderId="13" xfId="13" applyFont="1" applyBorder="1" applyAlignment="1">
      <alignment horizontal="center"/>
    </xf>
    <xf numFmtId="6" fontId="30" fillId="0" borderId="0" xfId="13" applyNumberFormat="1" applyFont="1" applyAlignment="1">
      <alignment horizontal="center"/>
    </xf>
    <xf numFmtId="0" fontId="30" fillId="0" borderId="0" xfId="13" applyFont="1" applyAlignment="1">
      <alignment horizontal="center"/>
    </xf>
    <xf numFmtId="0" fontId="3" fillId="2" borderId="32" xfId="1" applyFont="1" applyFill="1" applyBorder="1" applyAlignment="1">
      <alignment horizontal="center"/>
    </xf>
    <xf numFmtId="0" fontId="16" fillId="4" borderId="0" xfId="0" applyFont="1" applyFill="1" applyAlignment="1">
      <alignment horizontal="center"/>
    </xf>
    <xf numFmtId="0" fontId="16" fillId="4" borderId="13" xfId="0" applyFont="1" applyFill="1" applyBorder="1" applyAlignment="1">
      <alignment horizontal="center"/>
    </xf>
    <xf numFmtId="0" fontId="11" fillId="8" borderId="21" xfId="0" applyFont="1" applyFill="1" applyBorder="1" applyAlignment="1">
      <alignment horizontal="right" vertical="center" wrapText="1"/>
    </xf>
    <xf numFmtId="0" fontId="11" fillId="8" borderId="0" xfId="0" applyFont="1" applyFill="1" applyAlignment="1">
      <alignment horizontal="right" vertical="center" wrapText="1"/>
    </xf>
    <xf numFmtId="0" fontId="11" fillId="8" borderId="22"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2" fillId="7" borderId="25" xfId="0" applyFont="1" applyFill="1" applyBorder="1" applyAlignment="1">
      <alignment horizontal="center"/>
    </xf>
    <xf numFmtId="0" fontId="12" fillId="7" borderId="27" xfId="0" applyFont="1" applyFill="1" applyBorder="1" applyAlignment="1">
      <alignment horizontal="center"/>
    </xf>
    <xf numFmtId="0" fontId="12" fillId="7" borderId="25" xfId="0" applyFont="1" applyFill="1" applyBorder="1" applyAlignment="1">
      <alignment horizontal="center" wrapText="1"/>
    </xf>
    <xf numFmtId="0" fontId="12" fillId="7" borderId="27" xfId="0" applyFont="1" applyFill="1" applyBorder="1" applyAlignment="1">
      <alignment horizontal="center" wrapText="1"/>
    </xf>
    <xf numFmtId="3" fontId="12" fillId="7" borderId="25" xfId="0" applyNumberFormat="1" applyFont="1" applyFill="1" applyBorder="1" applyAlignment="1">
      <alignment horizontal="center"/>
    </xf>
    <xf numFmtId="3" fontId="12" fillId="7" borderId="27" xfId="0" applyNumberFormat="1" applyFont="1" applyFill="1" applyBorder="1" applyAlignment="1">
      <alignment horizontal="center"/>
    </xf>
    <xf numFmtId="3" fontId="12" fillId="7" borderId="28" xfId="0" applyNumberFormat="1" applyFont="1" applyFill="1" applyBorder="1" applyAlignment="1">
      <alignment horizontal="center"/>
    </xf>
    <xf numFmtId="3" fontId="12" fillId="7" borderId="29" xfId="0" applyNumberFormat="1" applyFont="1" applyFill="1" applyBorder="1" applyAlignment="1">
      <alignment horizontal="center"/>
    </xf>
    <xf numFmtId="3" fontId="12" fillId="7" borderId="30" xfId="0" applyNumberFormat="1" applyFont="1" applyFill="1" applyBorder="1" applyAlignment="1">
      <alignment horizontal="center"/>
    </xf>
    <xf numFmtId="0" fontId="0" fillId="0" borderId="0" xfId="0" applyAlignment="1">
      <alignment horizontal="left" wrapText="1"/>
    </xf>
  </cellXfs>
  <cellStyles count="14">
    <cellStyle name="Comma" xfId="3" builtinId="3"/>
    <cellStyle name="Comma 2" xfId="6" xr:uid="{00000000-0005-0000-0000-000001000000}"/>
    <cellStyle name="Comma 3" xfId="11" xr:uid="{12A9DCAE-C08A-4556-A17B-B208FCF23CDB}"/>
    <cellStyle name="Currency" xfId="4" builtinId="4"/>
    <cellStyle name="Currency 2" xfId="7" xr:uid="{00000000-0005-0000-0000-000003000000}"/>
    <cellStyle name="Currency 3" xfId="10" xr:uid="{AC2B8002-4633-484A-BC69-E4FEB317EAD4}"/>
    <cellStyle name="Currency 4" xfId="2" xr:uid="{00000000-0005-0000-0000-000004000000}"/>
    <cellStyle name="Normal" xfId="0" builtinId="0"/>
    <cellStyle name="Normal 2" xfId="8" xr:uid="{00000000-0005-0000-0000-000006000000}"/>
    <cellStyle name="Normal 3" xfId="9" xr:uid="{11968156-8419-4BFD-BCEB-F2C54C8C9FCB}"/>
    <cellStyle name="Normal 4" xfId="12" xr:uid="{F5F0A87C-FE0D-49E3-A4C8-21EEC30AF713}"/>
    <cellStyle name="Normal 5" xfId="1" xr:uid="{00000000-0005-0000-0000-000007000000}"/>
    <cellStyle name="Normal 6" xfId="13" xr:uid="{CBD12F9C-B02E-43AE-9DED-2C0889BA6794}"/>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sz="1400"/>
              <a:t>Hidalgo</a:t>
            </a:r>
            <a:r>
              <a:rPr lang="en-US" sz="1400" baseline="0"/>
              <a:t> County Regional Mobility </a:t>
            </a:r>
            <a:r>
              <a:rPr lang="en-US" sz="1400"/>
              <a:t>Revenue Bonds - Total Outstanding 2023-2056 </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0.10917558034067333"/>
          <c:y val="0.18574705280484011"/>
          <c:w val="0.84633155849388797"/>
          <c:h val="0.55196405534054005"/>
        </c:manualLayout>
      </c:layout>
      <c:barChart>
        <c:barDir val="col"/>
        <c:grouping val="stacked"/>
        <c:varyColors val="0"/>
        <c:ser>
          <c:idx val="1"/>
          <c:order val="0"/>
          <c:spPr>
            <a:solidFill>
              <a:schemeClr val="tx2">
                <a:lumMod val="60000"/>
                <a:lumOff val="40000"/>
              </a:schemeClr>
            </a:solidFill>
            <a:ln>
              <a:noFill/>
            </a:ln>
            <a:effectLst/>
          </c:spPr>
          <c:invertIfNegative val="0"/>
          <c:dLbls>
            <c:dLbl>
              <c:idx val="11"/>
              <c:layout>
                <c:manualLayout>
                  <c:x val="0"/>
                  <c:y val="1.6407639418900227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E6-4A32-87F8-D292CCC8D1E6}"/>
                </c:ext>
              </c:extLst>
            </c:dLbl>
            <c:dLbl>
              <c:idx val="12"/>
              <c:layout>
                <c:manualLayout>
                  <c:x val="0"/>
                  <c:y val="1.08944527062835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E6-4A32-87F8-D292CCC8D1E6}"/>
                </c:ext>
              </c:extLst>
            </c:dLbl>
            <c:dLbl>
              <c:idx val="13"/>
              <c:layout>
                <c:manualLayout>
                  <c:x val="0"/>
                  <c:y val="6.749118948240081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F3-4830-9A42-7879BDF77E8B}"/>
                </c:ext>
              </c:extLst>
            </c:dLbl>
            <c:dLbl>
              <c:idx val="15"/>
              <c:layout>
                <c:manualLayout>
                  <c:x val="0"/>
                  <c:y val="6.044049688595027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F3-4830-9A42-7879BDF77E8B}"/>
                </c:ext>
              </c:extLst>
            </c:dLbl>
            <c:numFmt formatCode="&quot;$&quot;#,##0" sourceLinked="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'Rev Debt'!$L$4:$L$37</c:f>
              <c:numCache>
                <c:formatCode>General</c:formatCode>
                <c:ptCount val="34"/>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pt idx="33">
                  <c:v>2056</c:v>
                </c:pt>
              </c:numCache>
            </c:numRef>
          </c:cat>
          <c:val>
            <c:numRef>
              <c:f>'Rev Debt'!$M$4:$M$37</c:f>
              <c:numCache>
                <c:formatCode>_(* #,##0_);_(* \(#,##0\);_(* "-"_);_(@_)</c:formatCode>
                <c:ptCount val="34"/>
                <c:pt idx="0" formatCode="_(&quot;$&quot;* #,##0_);_(&quot;$&quot;* \(#,##0\);_(&quot;$&quot;* &quot;-&quot;_);_(@_)">
                  <c:v>2240000</c:v>
                </c:pt>
                <c:pt idx="1">
                  <c:v>2325000</c:v>
                </c:pt>
                <c:pt idx="2">
                  <c:v>2345000</c:v>
                </c:pt>
                <c:pt idx="3">
                  <c:v>2365000</c:v>
                </c:pt>
                <c:pt idx="4">
                  <c:v>2400000</c:v>
                </c:pt>
                <c:pt idx="5">
                  <c:v>3475000</c:v>
                </c:pt>
                <c:pt idx="6">
                  <c:v>4550000</c:v>
                </c:pt>
                <c:pt idx="7">
                  <c:v>6080000</c:v>
                </c:pt>
                <c:pt idx="8">
                  <c:v>7480000</c:v>
                </c:pt>
                <c:pt idx="9">
                  <c:v>8270000</c:v>
                </c:pt>
                <c:pt idx="10">
                  <c:v>9055000</c:v>
                </c:pt>
                <c:pt idx="11">
                  <c:v>9880000</c:v>
                </c:pt>
                <c:pt idx="12">
                  <c:v>10895000</c:v>
                </c:pt>
                <c:pt idx="13">
                  <c:v>11835000</c:v>
                </c:pt>
                <c:pt idx="14">
                  <c:v>12805000</c:v>
                </c:pt>
                <c:pt idx="15">
                  <c:v>13955000</c:v>
                </c:pt>
                <c:pt idx="16">
                  <c:v>14960000</c:v>
                </c:pt>
                <c:pt idx="17">
                  <c:v>16030000</c:v>
                </c:pt>
                <c:pt idx="18">
                  <c:v>17385000</c:v>
                </c:pt>
                <c:pt idx="19">
                  <c:v>10583969</c:v>
                </c:pt>
                <c:pt idx="20">
                  <c:v>10602665</c:v>
                </c:pt>
                <c:pt idx="21">
                  <c:v>8964858</c:v>
                </c:pt>
                <c:pt idx="22">
                  <c:v>8865409</c:v>
                </c:pt>
                <c:pt idx="23">
                  <c:v>8756327</c:v>
                </c:pt>
                <c:pt idx="24">
                  <c:v>8793776</c:v>
                </c:pt>
                <c:pt idx="25">
                  <c:v>8738234</c:v>
                </c:pt>
                <c:pt idx="26">
                  <c:v>8697930</c:v>
                </c:pt>
                <c:pt idx="27">
                  <c:v>8729680</c:v>
                </c:pt>
                <c:pt idx="28">
                  <c:v>7331985</c:v>
                </c:pt>
                <c:pt idx="29">
                  <c:v>7185315</c:v>
                </c:pt>
                <c:pt idx="30">
                  <c:v>7109446</c:v>
                </c:pt>
                <c:pt idx="31">
                  <c:v>6977333</c:v>
                </c:pt>
                <c:pt idx="32">
                  <c:v>6837360</c:v>
                </c:pt>
                <c:pt idx="33">
                  <c:v>6725765</c:v>
                </c:pt>
              </c:numCache>
            </c:numRef>
          </c:val>
          <c:extLst>
            <c:ext xmlns:c16="http://schemas.microsoft.com/office/drawing/2014/chart" uri="{C3380CC4-5D6E-409C-BE32-E72D297353CC}">
              <c16:uniqueId val="{00000004-36E6-4A32-87F8-D292CCC8D1E6}"/>
            </c:ext>
          </c:extLst>
        </c:ser>
        <c:ser>
          <c:idx val="2"/>
          <c:order val="1"/>
          <c:spPr>
            <a:solidFill>
              <a:srgbClr val="92D050"/>
            </a:solidFill>
            <a:ln>
              <a:noFill/>
            </a:ln>
            <a:effectLst/>
          </c:spPr>
          <c:invertIfNegative val="0"/>
          <c:dLbls>
            <c:dLbl>
              <c:idx val="14"/>
              <c:layout>
                <c:manualLayout>
                  <c:x val="-1.4306151645207439E-3"/>
                  <c:y val="-1.05613542493234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E6-4A32-87F8-D292CCC8D1E6}"/>
                </c:ext>
              </c:extLst>
            </c:dLbl>
            <c:dLbl>
              <c:idx val="15"/>
              <c:layout>
                <c:manualLayout>
                  <c:x val="-1.1176821781397497E-3"/>
                  <c:y val="-1.78008369108901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E6-4A32-87F8-D292CCC8D1E6}"/>
                </c:ext>
              </c:extLst>
            </c:dLbl>
            <c:dLbl>
              <c:idx val="16"/>
              <c:layout>
                <c:manualLayout>
                  <c:x val="-1.0491056679570123E-16"/>
                  <c:y val="-2.18223497256641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F3-4830-9A42-7879BDF77E8B}"/>
                </c:ext>
              </c:extLst>
            </c:dLbl>
            <c:numFmt formatCode="&quot;$&quot;#,##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numRef>
              <c:f>'Rev Debt'!$L$4:$L$37</c:f>
              <c:numCache>
                <c:formatCode>General</c:formatCode>
                <c:ptCount val="34"/>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pt idx="33">
                  <c:v>2056</c:v>
                </c:pt>
              </c:numCache>
            </c:numRef>
          </c:cat>
          <c:val>
            <c:numRef>
              <c:f>'Rev Debt'!$P$4:$P$37</c:f>
              <c:numCache>
                <c:formatCode>_(* #,##0_);_(* \(#,##0\);_(* "-"_);_(@_)</c:formatCode>
                <c:ptCount val="34"/>
                <c:pt idx="0" formatCode="_(&quot;$&quot;* #,##0_);_(&quot;$&quot;* \(#,##0\);_(&quot;$&quot;* &quot;-&quot;_);_(@_)">
                  <c:v>6500354</c:v>
                </c:pt>
                <c:pt idx="1">
                  <c:v>6422567</c:v>
                </c:pt>
                <c:pt idx="2">
                  <c:v>6400154</c:v>
                </c:pt>
                <c:pt idx="3">
                  <c:v>6375204</c:v>
                </c:pt>
                <c:pt idx="4">
                  <c:v>6342945</c:v>
                </c:pt>
                <c:pt idx="5">
                  <c:v>6307809</c:v>
                </c:pt>
                <c:pt idx="6">
                  <c:v>6214852</c:v>
                </c:pt>
                <c:pt idx="7">
                  <c:v>6066998</c:v>
                </c:pt>
                <c:pt idx="8">
                  <c:v>5841571</c:v>
                </c:pt>
                <c:pt idx="9">
                  <c:v>5545134</c:v>
                </c:pt>
                <c:pt idx="10">
                  <c:v>5208232</c:v>
                </c:pt>
                <c:pt idx="11">
                  <c:v>4832057</c:v>
                </c:pt>
                <c:pt idx="12">
                  <c:v>4413624</c:v>
                </c:pt>
                <c:pt idx="13">
                  <c:v>3973724</c:v>
                </c:pt>
                <c:pt idx="14">
                  <c:v>3411586</c:v>
                </c:pt>
                <c:pt idx="15">
                  <c:v>2931373</c:v>
                </c:pt>
                <c:pt idx="16">
                  <c:v>2406085</c:v>
                </c:pt>
                <c:pt idx="17">
                  <c:v>1841576</c:v>
                </c:pt>
                <c:pt idx="18">
                  <c:v>1235247</c:v>
                </c:pt>
                <c:pt idx="19">
                  <c:v>8604803</c:v>
                </c:pt>
                <c:pt idx="20">
                  <c:v>9165206</c:v>
                </c:pt>
                <c:pt idx="21">
                  <c:v>10734142</c:v>
                </c:pt>
                <c:pt idx="22">
                  <c:v>11440491</c:v>
                </c:pt>
                <c:pt idx="23">
                  <c:v>12080273</c:v>
                </c:pt>
                <c:pt idx="24">
                  <c:v>12849024</c:v>
                </c:pt>
                <c:pt idx="25">
                  <c:v>13483566</c:v>
                </c:pt>
                <c:pt idx="26">
                  <c:v>14155670</c:v>
                </c:pt>
                <c:pt idx="27">
                  <c:v>15003320</c:v>
                </c:pt>
                <c:pt idx="28">
                  <c:v>16343016</c:v>
                </c:pt>
                <c:pt idx="29">
                  <c:v>17159685</c:v>
                </c:pt>
                <c:pt idx="30">
                  <c:v>18105554</c:v>
                </c:pt>
                <c:pt idx="31">
                  <c:v>18932668</c:v>
                </c:pt>
                <c:pt idx="32">
                  <c:v>19757640</c:v>
                </c:pt>
                <c:pt idx="33">
                  <c:v>20704232</c:v>
                </c:pt>
              </c:numCache>
            </c:numRef>
          </c:val>
          <c:extLst>
            <c:ext xmlns:c16="http://schemas.microsoft.com/office/drawing/2014/chart" uri="{C3380CC4-5D6E-409C-BE32-E72D297353CC}">
              <c16:uniqueId val="{00000009-36E6-4A32-87F8-D292CCC8D1E6}"/>
            </c:ext>
          </c:extLst>
        </c:ser>
        <c:dLbls>
          <c:dLblPos val="ctr"/>
          <c:showLegendKey val="0"/>
          <c:showVal val="1"/>
          <c:showCatName val="0"/>
          <c:showSerName val="0"/>
          <c:showPercent val="0"/>
          <c:showBubbleSize val="0"/>
        </c:dLbls>
        <c:gapWidth val="65"/>
        <c:overlap val="100"/>
        <c:axId val="304069288"/>
        <c:axId val="304068112"/>
      </c:barChart>
      <c:catAx>
        <c:axId val="304069288"/>
        <c:scaling>
          <c:orientation val="minMax"/>
        </c:scaling>
        <c:delete val="0"/>
        <c:axPos val="b"/>
        <c:numFmt formatCode="General"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304068112"/>
        <c:crosses val="autoZero"/>
        <c:auto val="1"/>
        <c:lblAlgn val="ctr"/>
        <c:lblOffset val="100"/>
        <c:noMultiLvlLbl val="0"/>
      </c:catAx>
      <c:valAx>
        <c:axId val="304068112"/>
        <c:scaling>
          <c:orientation val="minMax"/>
        </c:scaling>
        <c:delete val="0"/>
        <c:axPos val="l"/>
        <c:majorGridlines>
          <c:spPr>
            <a:ln w="6350" cap="flat" cmpd="sng" algn="ctr">
              <a:solidFill>
                <a:schemeClr val="tx1">
                  <a:tint val="75000"/>
                </a:schemeClr>
              </a:solidFill>
              <a:prstDash val="solid"/>
              <a:round/>
            </a:ln>
            <a:effectLst/>
          </c:spPr>
        </c:majorGridlines>
        <c:numFmt formatCode="_(&quot;$&quot;* #,##0_);_(&quot;$&quot;* \(#,##0\);_(&quot;$&quot;* &quot;-&quot;_);_(@_)"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304069288"/>
        <c:crosses val="autoZero"/>
        <c:crossBetween val="between"/>
        <c:dispUnits>
          <c:builtInUnit val="millions"/>
          <c:dispUnitsLbl>
            <c:layout>
              <c:manualLayout>
                <c:xMode val="edge"/>
                <c:yMode val="edge"/>
                <c:x val="2.7777777777777779E-3"/>
                <c:y val="0.40829870224555265"/>
              </c:manualLayout>
            </c:layout>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dispUnitsLbl>
        </c:dispUnits>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sz="1000"/>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latin typeface="Times New Roman" panose="02020603050405020304" pitchFamily="18" charset="0"/>
                <a:cs typeface="Times New Roman" panose="02020603050405020304" pitchFamily="18" charset="0"/>
              </a:rPr>
              <a:t>Five Year Total Outstanding</a:t>
            </a:r>
            <a:r>
              <a:rPr lang="en-US" sz="1200" b="1" baseline="0">
                <a:latin typeface="Times New Roman" panose="02020603050405020304" pitchFamily="18" charset="0"/>
                <a:cs typeface="Times New Roman" panose="02020603050405020304" pitchFamily="18" charset="0"/>
              </a:rPr>
              <a:t> Debt</a:t>
            </a:r>
            <a:endParaRPr lang="en-US" sz="1200" b="1">
              <a:latin typeface="Times New Roman" panose="02020603050405020304" pitchFamily="18" charset="0"/>
              <a:cs typeface="Times New Roman" panose="02020603050405020304" pitchFamily="18" charset="0"/>
            </a:endParaRPr>
          </a:p>
          <a:p>
            <a:pPr>
              <a:defRPr/>
            </a:pPr>
            <a:r>
              <a:rPr lang="en-US" sz="1200" b="1">
                <a:latin typeface="Times New Roman" panose="02020603050405020304" pitchFamily="18" charset="0"/>
                <a:cs typeface="Times New Roman" panose="02020603050405020304" pitchFamily="18" charset="0"/>
              </a:rPr>
              <a:t>Revenue</a:t>
            </a:r>
            <a:r>
              <a:rPr lang="en-US" sz="1200" b="1" baseline="0">
                <a:latin typeface="Times New Roman" panose="02020603050405020304" pitchFamily="18" charset="0"/>
                <a:cs typeface="Times New Roman" panose="02020603050405020304" pitchFamily="18" charset="0"/>
              </a:rPr>
              <a:t> Supported </a:t>
            </a:r>
          </a:p>
          <a:p>
            <a:pPr>
              <a:defRPr/>
            </a:pPr>
            <a:r>
              <a:rPr lang="en-US" sz="1000" b="1" baseline="0">
                <a:latin typeface="Times New Roman" panose="02020603050405020304" pitchFamily="18" charset="0"/>
                <a:cs typeface="Times New Roman" panose="02020603050405020304" pitchFamily="18" charset="0"/>
              </a:rPr>
              <a:t>2018-2022</a:t>
            </a:r>
            <a:r>
              <a:rPr lang="en-US" sz="1000" baseline="0">
                <a:latin typeface="Times New Roman" panose="02020603050405020304" pitchFamily="18" charset="0"/>
                <a:cs typeface="Times New Roman" panose="02020603050405020304" pitchFamily="18" charset="0"/>
              </a:rPr>
              <a:t> </a:t>
            </a:r>
            <a:endParaRPr lang="en-US" sz="1000">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'Outstanding debt'!$A$4:$A$8</c:f>
              <c:numCache>
                <c:formatCode>General</c:formatCode>
                <c:ptCount val="5"/>
                <c:pt idx="0">
                  <c:v>2018</c:v>
                </c:pt>
                <c:pt idx="1">
                  <c:v>2019</c:v>
                </c:pt>
                <c:pt idx="2">
                  <c:v>2020</c:v>
                </c:pt>
                <c:pt idx="3">
                  <c:v>2021</c:v>
                </c:pt>
                <c:pt idx="4">
                  <c:v>2022</c:v>
                </c:pt>
              </c:numCache>
            </c:numRef>
          </c:cat>
          <c:val>
            <c:numRef>
              <c:f>'Outstanding debt'!$B$4:$B$8</c:f>
              <c:numCache>
                <c:formatCode>_("$"* #,##0_);_("$"* \(#,##0\);_("$"* "-"_);_(@_)</c:formatCode>
                <c:ptCount val="5"/>
                <c:pt idx="0">
                  <c:v>75960000</c:v>
                </c:pt>
                <c:pt idx="1">
                  <c:v>74740000</c:v>
                </c:pt>
                <c:pt idx="2">
                  <c:v>91975000</c:v>
                </c:pt>
                <c:pt idx="3">
                  <c:v>93242510</c:v>
                </c:pt>
                <c:pt idx="4">
                  <c:v>283230052</c:v>
                </c:pt>
              </c:numCache>
            </c:numRef>
          </c:val>
          <c:extLst>
            <c:ext xmlns:c16="http://schemas.microsoft.com/office/drawing/2014/chart" uri="{C3380CC4-5D6E-409C-BE32-E72D297353CC}">
              <c16:uniqueId val="{00000000-4536-494B-B69B-0D363E6EF23D}"/>
            </c:ext>
          </c:extLst>
        </c:ser>
        <c:dLbls>
          <c:showLegendKey val="0"/>
          <c:showVal val="0"/>
          <c:showCatName val="0"/>
          <c:showSerName val="0"/>
          <c:showPercent val="0"/>
          <c:showBubbleSize val="0"/>
        </c:dLbls>
        <c:gapWidth val="219"/>
        <c:overlap val="-27"/>
        <c:axId val="498394408"/>
        <c:axId val="498398344"/>
      </c:barChart>
      <c:catAx>
        <c:axId val="498394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8398344"/>
        <c:crosses val="autoZero"/>
        <c:auto val="1"/>
        <c:lblAlgn val="ctr"/>
        <c:lblOffset val="100"/>
        <c:noMultiLvlLbl val="0"/>
      </c:catAx>
      <c:valAx>
        <c:axId val="49839834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83944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latin typeface="Times New Roman" panose="02020603050405020304" pitchFamily="18" charset="0"/>
                <a:cs typeface="Times New Roman" panose="02020603050405020304" pitchFamily="18" charset="0"/>
              </a:rPr>
              <a:t>Hidalgo County Regional Mobility</a:t>
            </a:r>
            <a:r>
              <a:rPr lang="en-US" sz="1200" b="1" baseline="0">
                <a:latin typeface="Times New Roman" panose="02020603050405020304" pitchFamily="18" charset="0"/>
                <a:cs typeface="Times New Roman" panose="02020603050405020304" pitchFamily="18" charset="0"/>
              </a:rPr>
              <a:t> Authority</a:t>
            </a:r>
          </a:p>
          <a:p>
            <a:pPr>
              <a:defRPr/>
            </a:pPr>
            <a:r>
              <a:rPr lang="en-US" sz="1200" b="1" baseline="0">
                <a:latin typeface="Times New Roman" panose="02020603050405020304" pitchFamily="18" charset="0"/>
                <a:cs typeface="Times New Roman" panose="02020603050405020304" pitchFamily="18" charset="0"/>
              </a:rPr>
              <a:t>Inflation-Adjusted Revenue Supported Debt Per Capita</a:t>
            </a:r>
          </a:p>
          <a:p>
            <a:pPr>
              <a:defRPr/>
            </a:pPr>
            <a:r>
              <a:rPr lang="en-US" sz="1200" b="1" baseline="0">
                <a:latin typeface="Times New Roman" panose="02020603050405020304" pitchFamily="18" charset="0"/>
                <a:cs typeface="Times New Roman" panose="02020603050405020304" pitchFamily="18" charset="0"/>
              </a:rPr>
              <a:t>2018-2022</a:t>
            </a:r>
            <a:endParaRPr lang="en-US" sz="1200" b="1">
              <a:latin typeface="Times New Roman" panose="02020603050405020304" pitchFamily="18" charset="0"/>
              <a:cs typeface="Times New Roman" panose="02020603050405020304" pitchFamily="18" charset="0"/>
            </a:endParaRPr>
          </a:p>
        </c:rich>
      </c:tx>
      <c:layout>
        <c:manualLayout>
          <c:xMode val="edge"/>
          <c:yMode val="edge"/>
          <c:x val="0.11409011373578304"/>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112437617189178"/>
          <c:y val="0.19564748976513682"/>
          <c:w val="0.86172248322669176"/>
          <c:h val="0.6354308652594896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'CPI Index Data'!$A$2:$A$6</c:f>
              <c:numCache>
                <c:formatCode>General</c:formatCode>
                <c:ptCount val="5"/>
                <c:pt idx="0">
                  <c:v>2018</c:v>
                </c:pt>
                <c:pt idx="1">
                  <c:v>2019</c:v>
                </c:pt>
                <c:pt idx="2">
                  <c:v>2020</c:v>
                </c:pt>
                <c:pt idx="3">
                  <c:v>2021</c:v>
                </c:pt>
                <c:pt idx="4">
                  <c:v>2022</c:v>
                </c:pt>
              </c:numCache>
            </c:numRef>
          </c:cat>
          <c:val>
            <c:numRef>
              <c:f>'CPI Index Data'!$E$2:$E$6</c:f>
              <c:numCache>
                <c:formatCode>_("$"* #,##0.00_);_("$"* \(#,##0.00\);_("$"* "-"??_);_(@_)</c:formatCode>
                <c:ptCount val="5"/>
                <c:pt idx="0">
                  <c:v>97.779900000000012</c:v>
                </c:pt>
                <c:pt idx="1">
                  <c:v>92.923200000000008</c:v>
                </c:pt>
                <c:pt idx="2">
                  <c:v>113.508</c:v>
                </c:pt>
                <c:pt idx="3">
                  <c:v>109.0758</c:v>
                </c:pt>
                <c:pt idx="4">
                  <c:v>347.5138</c:v>
                </c:pt>
              </c:numCache>
            </c:numRef>
          </c:val>
          <c:extLst>
            <c:ext xmlns:c16="http://schemas.microsoft.com/office/drawing/2014/chart" uri="{C3380CC4-5D6E-409C-BE32-E72D297353CC}">
              <c16:uniqueId val="{00000000-A05A-4076-A2D9-EAD9B1B4967A}"/>
            </c:ext>
          </c:extLst>
        </c:ser>
        <c:dLbls>
          <c:showLegendKey val="0"/>
          <c:showVal val="0"/>
          <c:showCatName val="0"/>
          <c:showSerName val="0"/>
          <c:showPercent val="0"/>
          <c:showBubbleSize val="0"/>
        </c:dLbls>
        <c:gapWidth val="219"/>
        <c:overlap val="-27"/>
        <c:axId val="439351040"/>
        <c:axId val="439352352"/>
      </c:barChart>
      <c:catAx>
        <c:axId val="439351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352352"/>
        <c:crosses val="autoZero"/>
        <c:auto val="1"/>
        <c:lblAlgn val="ctr"/>
        <c:lblOffset val="100"/>
        <c:noMultiLvlLbl val="0"/>
      </c:catAx>
      <c:valAx>
        <c:axId val="43935235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3510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190499</xdr:rowOff>
    </xdr:from>
    <xdr:to>
      <xdr:col>10</xdr:col>
      <xdr:colOff>63500</xdr:colOff>
      <xdr:row>56</xdr:row>
      <xdr:rowOff>15875</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76200</xdr:colOff>
      <xdr:row>14</xdr:row>
      <xdr:rowOff>68580</xdr:rowOff>
    </xdr:to>
    <xdr:graphicFrame macro="">
      <xdr:nvGraphicFramePr>
        <xdr:cNvPr id="2" name="Chart 1">
          <a:extLst>
            <a:ext uri="{FF2B5EF4-FFF2-40B4-BE49-F238E27FC236}">
              <a16:creationId xmlns:a16="http://schemas.microsoft.com/office/drawing/2014/main" id="{2764CCDA-AED2-4830-BA6A-28F87F1B23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30480</xdr:colOff>
      <xdr:row>12</xdr:row>
      <xdr:rowOff>99060</xdr:rowOff>
    </xdr:to>
    <xdr:graphicFrame macro="">
      <xdr:nvGraphicFramePr>
        <xdr:cNvPr id="2" name="Chart 1">
          <a:extLst>
            <a:ext uri="{FF2B5EF4-FFF2-40B4-BE49-F238E27FC236}">
              <a16:creationId xmlns:a16="http://schemas.microsoft.com/office/drawing/2014/main" id="{F0CA4799-3BD8-4DCA-B579-3D52C5331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159"/>
  <sheetViews>
    <sheetView tabSelected="1" zoomScaleNormal="100" workbookViewId="0">
      <selection activeCell="S25" sqref="S25"/>
    </sheetView>
  </sheetViews>
  <sheetFormatPr defaultColWidth="9.140625" defaultRowHeight="15"/>
  <cols>
    <col min="1" max="1" width="16.7109375" style="14" customWidth="1"/>
    <col min="2" max="2" width="12.42578125" customWidth="1"/>
    <col min="3" max="3" width="15.140625" customWidth="1"/>
    <col min="4" max="5" width="13.42578125" bestFit="1" customWidth="1"/>
    <col min="6" max="6" width="5.42578125" style="14" customWidth="1"/>
    <col min="7" max="25" width="9.140625" style="14"/>
  </cols>
  <sheetData>
    <row r="1" spans="2:6">
      <c r="B1" s="107" t="s">
        <v>34</v>
      </c>
      <c r="C1" s="107"/>
      <c r="D1" s="107"/>
      <c r="E1" s="107"/>
      <c r="F1" s="106"/>
    </row>
    <row r="2" spans="2:6">
      <c r="B2" s="107" t="s">
        <v>8</v>
      </c>
      <c r="C2" s="107"/>
      <c r="D2" s="107"/>
      <c r="E2" s="107"/>
      <c r="F2" s="106"/>
    </row>
    <row r="3" spans="2:6">
      <c r="B3" s="107" t="s">
        <v>9</v>
      </c>
      <c r="C3" s="107"/>
      <c r="D3" s="107"/>
      <c r="E3" s="107"/>
      <c r="F3" s="106"/>
    </row>
    <row r="4" spans="2:6">
      <c r="B4" s="107" t="s">
        <v>84</v>
      </c>
      <c r="C4" s="107"/>
      <c r="D4" s="107"/>
      <c r="E4" s="107"/>
      <c r="F4" s="106"/>
    </row>
    <row r="5" spans="2:6">
      <c r="B5" s="14"/>
      <c r="C5" s="14"/>
      <c r="D5" s="14"/>
      <c r="E5" s="14"/>
    </row>
    <row r="6" spans="2:6">
      <c r="B6" s="10"/>
      <c r="C6" s="222" t="s">
        <v>11</v>
      </c>
      <c r="D6" s="222"/>
      <c r="E6" s="222"/>
      <c r="F6" s="17"/>
    </row>
    <row r="7" spans="2:6">
      <c r="B7" s="11" t="s">
        <v>0</v>
      </c>
      <c r="C7" s="222" t="s">
        <v>10</v>
      </c>
      <c r="D7" s="222"/>
      <c r="E7" s="222"/>
      <c r="F7" s="17"/>
    </row>
    <row r="8" spans="2:6">
      <c r="B8" s="12" t="s">
        <v>46</v>
      </c>
      <c r="C8" s="12" t="s">
        <v>2</v>
      </c>
      <c r="D8" s="12" t="s">
        <v>3</v>
      </c>
      <c r="E8" s="12" t="s">
        <v>4</v>
      </c>
      <c r="F8" s="18"/>
    </row>
    <row r="9" spans="2:6">
      <c r="B9" s="26">
        <v>2023</v>
      </c>
      <c r="C9" s="110">
        <v>2240000</v>
      </c>
      <c r="D9" s="110">
        <v>6500354</v>
      </c>
      <c r="E9" s="111">
        <f t="shared" ref="E9:E18" si="0">SUM(C9:D9)</f>
        <v>8740354</v>
      </c>
      <c r="F9" s="19"/>
    </row>
    <row r="10" spans="2:6">
      <c r="B10" s="26">
        <v>2024</v>
      </c>
      <c r="C10" s="110">
        <v>2325000</v>
      </c>
      <c r="D10" s="110">
        <v>6422567</v>
      </c>
      <c r="E10" s="111">
        <f t="shared" si="0"/>
        <v>8747567</v>
      </c>
      <c r="F10" s="19"/>
    </row>
    <row r="11" spans="2:6">
      <c r="B11" s="26">
        <v>2025</v>
      </c>
      <c r="C11" s="110">
        <v>2345000</v>
      </c>
      <c r="D11" s="110">
        <v>6400154</v>
      </c>
      <c r="E11" s="111">
        <f t="shared" si="0"/>
        <v>8745154</v>
      </c>
      <c r="F11" s="19"/>
    </row>
    <row r="12" spans="2:6">
      <c r="B12" s="26">
        <v>2026</v>
      </c>
      <c r="C12" s="110">
        <v>2365000</v>
      </c>
      <c r="D12" s="110">
        <v>6375204</v>
      </c>
      <c r="E12" s="111">
        <f t="shared" si="0"/>
        <v>8740204</v>
      </c>
      <c r="F12" s="19"/>
    </row>
    <row r="13" spans="2:6">
      <c r="B13" s="26">
        <v>2027</v>
      </c>
      <c r="C13" s="110">
        <v>2400000</v>
      </c>
      <c r="D13" s="110">
        <v>6342945</v>
      </c>
      <c r="E13" s="111">
        <f t="shared" si="0"/>
        <v>8742945</v>
      </c>
      <c r="F13" s="19"/>
    </row>
    <row r="14" spans="2:6">
      <c r="B14" s="26">
        <v>2028</v>
      </c>
      <c r="C14" s="110">
        <v>3475000</v>
      </c>
      <c r="D14" s="110">
        <v>6307809</v>
      </c>
      <c r="E14" s="111">
        <f t="shared" si="0"/>
        <v>9782809</v>
      </c>
      <c r="F14" s="19"/>
    </row>
    <row r="15" spans="2:6">
      <c r="B15" s="26">
        <v>2029</v>
      </c>
      <c r="C15" s="110">
        <v>4550000</v>
      </c>
      <c r="D15" s="110">
        <v>6214852</v>
      </c>
      <c r="E15" s="111">
        <f t="shared" si="0"/>
        <v>10764852</v>
      </c>
      <c r="F15" s="19"/>
    </row>
    <row r="16" spans="2:6">
      <c r="B16" s="26">
        <v>2030</v>
      </c>
      <c r="C16" s="110">
        <v>6080000</v>
      </c>
      <c r="D16" s="110">
        <v>6066998</v>
      </c>
      <c r="E16" s="111">
        <f t="shared" si="0"/>
        <v>12146998</v>
      </c>
      <c r="F16" s="19"/>
    </row>
    <row r="17" spans="2:6">
      <c r="B17" s="26">
        <v>2031</v>
      </c>
      <c r="C17" s="110">
        <v>7480000</v>
      </c>
      <c r="D17" s="110">
        <v>5841571</v>
      </c>
      <c r="E17" s="111">
        <f t="shared" si="0"/>
        <v>13321571</v>
      </c>
      <c r="F17" s="19"/>
    </row>
    <row r="18" spans="2:6">
      <c r="B18" s="26">
        <v>2032</v>
      </c>
      <c r="C18" s="110">
        <v>8270000</v>
      </c>
      <c r="D18" s="110">
        <v>5545134</v>
      </c>
      <c r="E18" s="111">
        <f t="shared" si="0"/>
        <v>13815134</v>
      </c>
      <c r="F18" s="19"/>
    </row>
    <row r="19" spans="2:6">
      <c r="B19" s="26">
        <v>2033</v>
      </c>
      <c r="C19" s="111">
        <v>9055000</v>
      </c>
      <c r="D19" s="111">
        <v>5208232</v>
      </c>
      <c r="E19" s="111">
        <f>SUM(C19:D19)</f>
        <v>14263232</v>
      </c>
      <c r="F19" s="19"/>
    </row>
    <row r="20" spans="2:6">
      <c r="B20" s="26">
        <v>2034</v>
      </c>
      <c r="C20" s="111">
        <v>9880000</v>
      </c>
      <c r="D20" s="111">
        <v>4832057</v>
      </c>
      <c r="E20" s="111">
        <f t="shared" ref="E20:E37" si="1">SUM(C20:D20)</f>
        <v>14712057</v>
      </c>
      <c r="F20" s="19"/>
    </row>
    <row r="21" spans="2:6">
      <c r="B21" s="26">
        <v>2035</v>
      </c>
      <c r="C21" s="111">
        <v>10895000</v>
      </c>
      <c r="D21" s="111">
        <v>4413624</v>
      </c>
      <c r="E21" s="111">
        <f t="shared" si="1"/>
        <v>15308624</v>
      </c>
      <c r="F21" s="19"/>
    </row>
    <row r="22" spans="2:6">
      <c r="B22" s="26">
        <v>2036</v>
      </c>
      <c r="C22" s="111">
        <v>11835000</v>
      </c>
      <c r="D22" s="111">
        <v>3943724</v>
      </c>
      <c r="E22" s="111">
        <f t="shared" si="1"/>
        <v>15778724</v>
      </c>
      <c r="F22" s="19"/>
    </row>
    <row r="23" spans="2:6">
      <c r="B23" s="26">
        <v>2037</v>
      </c>
      <c r="C23" s="111">
        <v>12805000</v>
      </c>
      <c r="D23" s="111">
        <v>3411586</v>
      </c>
      <c r="E23" s="111">
        <f t="shared" si="1"/>
        <v>16216586</v>
      </c>
      <c r="F23" s="19"/>
    </row>
    <row r="24" spans="2:6">
      <c r="B24" s="26">
        <v>2038</v>
      </c>
      <c r="C24" s="111">
        <v>13955000</v>
      </c>
      <c r="D24" s="111">
        <v>2931373</v>
      </c>
      <c r="E24" s="111">
        <f t="shared" si="1"/>
        <v>16886373</v>
      </c>
      <c r="F24" s="19"/>
    </row>
    <row r="25" spans="2:6">
      <c r="B25" s="26">
        <v>2039</v>
      </c>
      <c r="C25" s="111">
        <v>14960000</v>
      </c>
      <c r="D25" s="111">
        <v>2406085</v>
      </c>
      <c r="E25" s="111">
        <f t="shared" si="1"/>
        <v>17366085</v>
      </c>
      <c r="F25" s="19"/>
    </row>
    <row r="26" spans="2:6">
      <c r="B26" s="26">
        <v>2040</v>
      </c>
      <c r="C26" s="111">
        <v>16030000</v>
      </c>
      <c r="D26" s="111">
        <v>1841576</v>
      </c>
      <c r="E26" s="111">
        <f t="shared" si="1"/>
        <v>17871576</v>
      </c>
      <c r="F26" s="19"/>
    </row>
    <row r="27" spans="2:6">
      <c r="B27" s="26">
        <v>2041</v>
      </c>
      <c r="C27" s="111">
        <v>17385000</v>
      </c>
      <c r="D27" s="111">
        <v>1235247</v>
      </c>
      <c r="E27" s="111">
        <f t="shared" si="1"/>
        <v>18620247</v>
      </c>
      <c r="F27" s="19"/>
    </row>
    <row r="28" spans="2:6">
      <c r="B28" s="26">
        <v>2042</v>
      </c>
      <c r="C28" s="111">
        <v>10583969</v>
      </c>
      <c r="D28" s="111">
        <v>8604803</v>
      </c>
      <c r="E28" s="111">
        <f t="shared" si="1"/>
        <v>19188772</v>
      </c>
      <c r="F28" s="19"/>
    </row>
    <row r="29" spans="2:6">
      <c r="B29" s="26">
        <v>2043</v>
      </c>
      <c r="C29" s="111">
        <v>10602665</v>
      </c>
      <c r="D29" s="111">
        <v>9165206</v>
      </c>
      <c r="E29" s="111">
        <f t="shared" si="1"/>
        <v>19767871</v>
      </c>
      <c r="F29" s="19"/>
    </row>
    <row r="30" spans="2:6">
      <c r="B30" s="26">
        <v>2044</v>
      </c>
      <c r="C30" s="111">
        <v>8964858</v>
      </c>
      <c r="D30" s="111">
        <v>10734142</v>
      </c>
      <c r="E30" s="111">
        <f t="shared" si="1"/>
        <v>19699000</v>
      </c>
      <c r="F30" s="19"/>
    </row>
    <row r="31" spans="2:6">
      <c r="B31" s="26">
        <v>2045</v>
      </c>
      <c r="C31" s="111">
        <v>8865409</v>
      </c>
      <c r="D31" s="111">
        <v>11440491</v>
      </c>
      <c r="E31" s="111">
        <f t="shared" si="1"/>
        <v>20305900</v>
      </c>
      <c r="F31" s="19"/>
    </row>
    <row r="32" spans="2:6">
      <c r="B32" s="26">
        <v>2046</v>
      </c>
      <c r="C32" s="111">
        <v>8756327</v>
      </c>
      <c r="D32" s="111">
        <v>12080273</v>
      </c>
      <c r="E32" s="111">
        <f t="shared" si="1"/>
        <v>20836600</v>
      </c>
      <c r="F32" s="19"/>
    </row>
    <row r="33" spans="2:6">
      <c r="B33" s="26">
        <v>2047</v>
      </c>
      <c r="C33" s="111">
        <v>8793776</v>
      </c>
      <c r="D33" s="111">
        <v>12849024</v>
      </c>
      <c r="E33" s="111">
        <f t="shared" si="1"/>
        <v>21642800</v>
      </c>
      <c r="F33" s="19"/>
    </row>
    <row r="34" spans="2:6">
      <c r="B34" s="26">
        <v>2048</v>
      </c>
      <c r="C34" s="111">
        <v>8738234</v>
      </c>
      <c r="D34" s="111">
        <v>13483566</v>
      </c>
      <c r="E34" s="111">
        <f t="shared" si="1"/>
        <v>22221800</v>
      </c>
      <c r="F34" s="19"/>
    </row>
    <row r="35" spans="2:6">
      <c r="B35" s="26">
        <v>2049</v>
      </c>
      <c r="C35" s="111">
        <v>8697930</v>
      </c>
      <c r="D35" s="111">
        <v>14155670</v>
      </c>
      <c r="E35" s="111">
        <f t="shared" si="1"/>
        <v>22853600</v>
      </c>
      <c r="F35" s="19"/>
    </row>
    <row r="36" spans="2:6">
      <c r="B36" s="26">
        <v>2050</v>
      </c>
      <c r="C36" s="111">
        <v>8729680</v>
      </c>
      <c r="D36" s="111">
        <v>15003320</v>
      </c>
      <c r="E36" s="111">
        <f t="shared" si="1"/>
        <v>23733000</v>
      </c>
      <c r="F36" s="19"/>
    </row>
    <row r="37" spans="2:6">
      <c r="B37" s="26">
        <v>2051</v>
      </c>
      <c r="C37" s="111">
        <v>7331985</v>
      </c>
      <c r="D37" s="111">
        <v>16343016</v>
      </c>
      <c r="E37" s="111">
        <f t="shared" si="1"/>
        <v>23675001</v>
      </c>
      <c r="F37" s="19"/>
    </row>
    <row r="38" spans="2:6">
      <c r="B38" s="26">
        <v>2052</v>
      </c>
      <c r="C38" s="111">
        <v>7185315</v>
      </c>
      <c r="D38" s="111">
        <v>17159685</v>
      </c>
      <c r="E38" s="111">
        <f t="shared" ref="E38:E42" si="2">SUM(C38:D38)</f>
        <v>24345000</v>
      </c>
      <c r="F38" s="19"/>
    </row>
    <row r="39" spans="2:6">
      <c r="B39" s="26">
        <v>2053</v>
      </c>
      <c r="C39" s="111">
        <v>7109446</v>
      </c>
      <c r="D39" s="111">
        <v>18105554</v>
      </c>
      <c r="E39" s="111">
        <f t="shared" si="2"/>
        <v>25215000</v>
      </c>
      <c r="F39" s="19"/>
    </row>
    <row r="40" spans="2:6">
      <c r="B40" s="26">
        <v>2054</v>
      </c>
      <c r="C40" s="111">
        <v>6977333</v>
      </c>
      <c r="D40" s="111">
        <v>18932668</v>
      </c>
      <c r="E40" s="111">
        <f t="shared" si="2"/>
        <v>25910001</v>
      </c>
      <c r="F40" s="19"/>
    </row>
    <row r="41" spans="2:6">
      <c r="B41" s="26">
        <v>2055</v>
      </c>
      <c r="C41" s="111">
        <v>6837360</v>
      </c>
      <c r="D41" s="111">
        <v>19757640</v>
      </c>
      <c r="E41" s="111">
        <f t="shared" si="2"/>
        <v>26595000</v>
      </c>
      <c r="F41" s="19"/>
    </row>
    <row r="42" spans="2:6">
      <c r="B42" s="26">
        <v>2056</v>
      </c>
      <c r="C42" s="111">
        <v>6725765</v>
      </c>
      <c r="D42" s="111">
        <v>20704232</v>
      </c>
      <c r="E42" s="111">
        <f t="shared" si="2"/>
        <v>27429997</v>
      </c>
      <c r="F42" s="19"/>
    </row>
    <row r="43" spans="2:6">
      <c r="B43" s="26"/>
      <c r="D43" s="9"/>
      <c r="E43" s="9"/>
      <c r="F43" s="19"/>
    </row>
    <row r="44" spans="2:6">
      <c r="B44" s="13" t="s">
        <v>42</v>
      </c>
      <c r="C44" s="112">
        <f>SUM(C9:C42)</f>
        <v>283230052</v>
      </c>
      <c r="D44" s="112">
        <f>SUM(D9:D43)</f>
        <v>310760382</v>
      </c>
      <c r="E44" s="112">
        <f>SUM(E9:E43)</f>
        <v>593990434</v>
      </c>
      <c r="F44" s="20"/>
    </row>
    <row r="45" spans="2:6" s="14" customFormat="1">
      <c r="B45" s="15"/>
      <c r="C45" s="15"/>
      <c r="D45" s="15"/>
      <c r="E45" s="15"/>
      <c r="F45" s="15"/>
    </row>
    <row r="46" spans="2:6" s="14" customFormat="1">
      <c r="B46" s="15"/>
      <c r="C46" s="15"/>
      <c r="D46" s="15"/>
      <c r="E46" s="15"/>
      <c r="F46" s="15"/>
    </row>
    <row r="47" spans="2:6" s="14" customFormat="1">
      <c r="B47" s="15"/>
      <c r="C47" s="15"/>
      <c r="D47" s="15"/>
      <c r="E47" s="15"/>
      <c r="F47" s="15"/>
    </row>
    <row r="48" spans="2:6" s="14" customFormat="1">
      <c r="B48" s="91"/>
      <c r="C48" s="15"/>
      <c r="D48" s="15"/>
      <c r="E48" s="15"/>
      <c r="F48" s="15"/>
    </row>
    <row r="49" spans="2:6" s="14" customFormat="1">
      <c r="B49" s="15"/>
      <c r="C49" s="15"/>
      <c r="D49" s="15"/>
      <c r="E49" s="15"/>
      <c r="F49" s="15"/>
    </row>
    <row r="50" spans="2:6" s="14" customFormat="1">
      <c r="B50" s="15"/>
      <c r="C50" s="15"/>
      <c r="D50" s="15"/>
      <c r="E50" s="15"/>
      <c r="F50" s="15"/>
    </row>
    <row r="51" spans="2:6" s="14" customFormat="1">
      <c r="B51" s="15"/>
      <c r="C51" s="15"/>
      <c r="D51" s="15"/>
      <c r="E51" s="15"/>
      <c r="F51" s="15"/>
    </row>
    <row r="52" spans="2:6" s="14" customFormat="1">
      <c r="B52" s="15"/>
      <c r="C52" s="15"/>
      <c r="D52" s="15"/>
      <c r="E52" s="15"/>
      <c r="F52" s="15"/>
    </row>
    <row r="53" spans="2:6" s="14" customFormat="1">
      <c r="B53" s="15"/>
      <c r="C53" s="15"/>
      <c r="D53" s="15"/>
      <c r="E53" s="15"/>
      <c r="F53" s="15"/>
    </row>
    <row r="54" spans="2:6" s="14" customFormat="1">
      <c r="B54" s="15"/>
      <c r="C54" s="15"/>
      <c r="D54" s="15"/>
      <c r="E54" s="15"/>
      <c r="F54" s="15"/>
    </row>
    <row r="55" spans="2:6" s="14" customFormat="1">
      <c r="B55" s="15"/>
      <c r="C55" s="15"/>
      <c r="D55" s="15"/>
      <c r="E55" s="15"/>
      <c r="F55" s="15"/>
    </row>
    <row r="56" spans="2:6" s="14" customFormat="1">
      <c r="B56" s="15"/>
      <c r="C56" s="15"/>
      <c r="D56" s="15"/>
      <c r="E56" s="15"/>
      <c r="F56" s="15"/>
    </row>
    <row r="57" spans="2:6" s="14" customFormat="1">
      <c r="B57" s="15"/>
      <c r="C57" s="15"/>
      <c r="D57" s="15"/>
      <c r="E57" s="15"/>
      <c r="F57" s="15"/>
    </row>
    <row r="58" spans="2:6" s="14" customFormat="1">
      <c r="B58" s="15"/>
      <c r="C58" s="15"/>
      <c r="D58" s="15"/>
      <c r="E58" s="15"/>
      <c r="F58" s="15"/>
    </row>
    <row r="59" spans="2:6" s="14" customFormat="1">
      <c r="B59" s="15"/>
      <c r="C59" s="15"/>
      <c r="D59" s="15"/>
      <c r="E59" s="15"/>
      <c r="F59" s="15"/>
    </row>
    <row r="60" spans="2:6" s="14" customFormat="1">
      <c r="B60" s="15"/>
      <c r="C60" s="15"/>
      <c r="D60" s="15"/>
      <c r="E60" s="15"/>
      <c r="F60" s="15"/>
    </row>
    <row r="61" spans="2:6" s="14" customFormat="1"/>
    <row r="62" spans="2:6" s="14" customFormat="1"/>
    <row r="63" spans="2:6" s="14" customFormat="1"/>
    <row r="64" spans="2:6" s="14" customFormat="1"/>
    <row r="65" s="14" customFormat="1"/>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row r="94" s="14" customFormat="1"/>
    <row r="95" s="14" customFormat="1"/>
    <row r="96" s="14" customFormat="1"/>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row r="111" s="14" customFormat="1"/>
    <row r="112"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row r="129" s="14" customFormat="1"/>
    <row r="130" s="14" customFormat="1"/>
    <row r="131" s="14" customFormat="1"/>
    <row r="132" s="14" customFormat="1"/>
    <row r="133" s="14" customFormat="1"/>
    <row r="134" s="14" customFormat="1"/>
    <row r="135" s="14" customFormat="1"/>
    <row r="136" s="14" customFormat="1"/>
    <row r="137" s="14" customFormat="1"/>
    <row r="138" s="14" customFormat="1"/>
    <row r="139" s="14" customFormat="1"/>
    <row r="140" s="14" customFormat="1"/>
    <row r="141" s="14" customFormat="1"/>
    <row r="142" s="14" customFormat="1"/>
    <row r="143" s="14" customFormat="1"/>
    <row r="144" s="14" customFormat="1"/>
    <row r="145" s="14" customFormat="1"/>
    <row r="146" s="14" customFormat="1"/>
    <row r="147" s="14" customFormat="1"/>
    <row r="148" s="14" customFormat="1"/>
    <row r="149" s="14" customFormat="1"/>
    <row r="150" s="14" customFormat="1"/>
    <row r="151" s="14" customFormat="1"/>
    <row r="152" s="14" customFormat="1"/>
    <row r="153" s="14" customFormat="1"/>
    <row r="154" s="14" customFormat="1"/>
    <row r="155" s="14" customFormat="1"/>
    <row r="156" s="14" customFormat="1"/>
    <row r="157" s="14" customFormat="1"/>
    <row r="158" s="14" customFormat="1"/>
    <row r="159" s="14" customFormat="1"/>
  </sheetData>
  <mergeCells count="2">
    <mergeCell ref="C7:E7"/>
    <mergeCell ref="C6:E6"/>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202"/>
  <sheetViews>
    <sheetView zoomScaleNormal="100" workbookViewId="0">
      <selection activeCell="L7" sqref="L7"/>
    </sheetView>
  </sheetViews>
  <sheetFormatPr defaultRowHeight="15"/>
  <cols>
    <col min="1" max="1" width="3.28515625" style="90" customWidth="1"/>
    <col min="2" max="2" width="51.42578125" customWidth="1"/>
    <col min="3" max="3" width="15.7109375" bestFit="1" customWidth="1"/>
    <col min="4" max="4" width="9.28515625" bestFit="1" customWidth="1"/>
    <col min="5" max="5" width="15.7109375" bestFit="1" customWidth="1"/>
    <col min="6" max="6" width="9.28515625" bestFit="1" customWidth="1"/>
    <col min="7" max="7" width="15.7109375" bestFit="1" customWidth="1"/>
    <col min="8" max="8" width="9.28515625" bestFit="1" customWidth="1"/>
    <col min="9" max="9" width="15.7109375" bestFit="1" customWidth="1"/>
    <col min="10" max="10" width="9.28515625" bestFit="1" customWidth="1"/>
    <col min="11" max="11" width="15.7109375" bestFit="1" customWidth="1"/>
    <col min="12" max="12" width="9.28515625" bestFit="1" customWidth="1"/>
    <col min="13" max="38" width="9.140625" style="14"/>
  </cols>
  <sheetData>
    <row r="1" spans="1:12">
      <c r="B1" s="223" t="s">
        <v>34</v>
      </c>
      <c r="C1" s="224"/>
      <c r="D1" s="224"/>
      <c r="E1" s="224"/>
      <c r="F1" s="224"/>
      <c r="G1" s="224"/>
      <c r="H1" s="224"/>
      <c r="I1" s="224"/>
      <c r="J1" s="224"/>
      <c r="K1" s="224"/>
      <c r="L1" s="224"/>
    </row>
    <row r="2" spans="1:12">
      <c r="B2" s="225" t="s">
        <v>45</v>
      </c>
      <c r="C2" s="226"/>
      <c r="D2" s="226"/>
      <c r="E2" s="226"/>
      <c r="F2" s="226"/>
      <c r="G2" s="226"/>
      <c r="H2" s="226"/>
      <c r="I2" s="226"/>
      <c r="J2" s="226"/>
      <c r="K2" s="226"/>
      <c r="L2" s="226"/>
    </row>
    <row r="3" spans="1:12">
      <c r="B3" s="95"/>
      <c r="C3" s="177">
        <v>2018</v>
      </c>
      <c r="D3" s="178"/>
      <c r="E3" s="177">
        <v>2019</v>
      </c>
      <c r="F3" s="178"/>
      <c r="G3" s="177">
        <v>2020</v>
      </c>
      <c r="H3" s="178"/>
      <c r="I3" s="227">
        <v>2021</v>
      </c>
      <c r="J3" s="228"/>
      <c r="K3" s="227">
        <v>2022</v>
      </c>
      <c r="L3" s="228"/>
    </row>
    <row r="4" spans="1:12">
      <c r="B4" s="96"/>
      <c r="C4" s="97" t="s">
        <v>30</v>
      </c>
      <c r="D4" s="98">
        <v>862298</v>
      </c>
      <c r="E4" s="97" t="s">
        <v>30</v>
      </c>
      <c r="F4" s="98">
        <v>868707</v>
      </c>
      <c r="G4" s="97" t="s">
        <v>30</v>
      </c>
      <c r="H4" s="98">
        <v>875116</v>
      </c>
      <c r="I4" s="97" t="s">
        <v>30</v>
      </c>
      <c r="J4" s="98">
        <v>881525</v>
      </c>
      <c r="K4" s="97" t="s">
        <v>30</v>
      </c>
      <c r="L4" s="98">
        <v>888367</v>
      </c>
    </row>
    <row r="5" spans="1:12" ht="25.5">
      <c r="B5" s="99"/>
      <c r="C5" s="100" t="s">
        <v>2</v>
      </c>
      <c r="D5" s="100" t="s">
        <v>31</v>
      </c>
      <c r="E5" s="100" t="s">
        <v>2</v>
      </c>
      <c r="F5" s="100" t="s">
        <v>31</v>
      </c>
      <c r="G5" s="100" t="s">
        <v>2</v>
      </c>
      <c r="H5" s="100" t="s">
        <v>31</v>
      </c>
      <c r="I5" s="100" t="s">
        <v>2</v>
      </c>
      <c r="J5" s="100" t="s">
        <v>31</v>
      </c>
      <c r="K5" s="100" t="s">
        <v>2</v>
      </c>
      <c r="L5" s="100" t="s">
        <v>31</v>
      </c>
    </row>
    <row r="6" spans="1:12" ht="24" customHeight="1">
      <c r="B6" s="101"/>
      <c r="C6" s="94"/>
      <c r="D6" s="94"/>
      <c r="E6" s="94"/>
      <c r="F6" s="94"/>
      <c r="G6" s="94"/>
      <c r="H6" s="94"/>
      <c r="I6" s="94"/>
      <c r="J6" s="94"/>
      <c r="K6" s="94"/>
      <c r="L6" s="94"/>
    </row>
    <row r="7" spans="1:12" ht="30">
      <c r="B7" s="92" t="s">
        <v>35</v>
      </c>
      <c r="C7" s="102">
        <v>55960000</v>
      </c>
      <c r="D7" s="104">
        <f>C7/$F$4</f>
        <v>64.417576927548637</v>
      </c>
      <c r="E7" s="102">
        <v>54740000</v>
      </c>
      <c r="F7" s="104">
        <f>E7/$H$4</f>
        <v>62.551707430786315</v>
      </c>
      <c r="G7" s="102">
        <v>4090000</v>
      </c>
      <c r="H7" s="104">
        <f t="shared" ref="H7:H12" si="0">G7/H$4</f>
        <v>4.6736661196915605</v>
      </c>
      <c r="I7" s="102">
        <v>2785000</v>
      </c>
      <c r="J7" s="104">
        <f t="shared" ref="J7:J12" si="1">I7/J$4</f>
        <v>3.1592978077762965</v>
      </c>
      <c r="K7" s="102">
        <v>1425000</v>
      </c>
      <c r="L7" s="104">
        <f t="shared" ref="L7:L12" si="2">K7/L$4</f>
        <v>1.6040667877127359</v>
      </c>
    </row>
    <row r="8" spans="1:12" ht="30">
      <c r="B8" s="92" t="s">
        <v>63</v>
      </c>
      <c r="C8" s="102">
        <v>0</v>
      </c>
      <c r="D8" s="104">
        <v>0</v>
      </c>
      <c r="E8" s="102">
        <v>0</v>
      </c>
      <c r="F8" s="104">
        <v>0</v>
      </c>
      <c r="G8" s="102">
        <v>9870000</v>
      </c>
      <c r="H8" s="104">
        <f t="shared" si="0"/>
        <v>11.278504792507508</v>
      </c>
      <c r="I8" s="102">
        <v>9870000</v>
      </c>
      <c r="J8" s="104">
        <f t="shared" si="1"/>
        <v>11.196506054848133</v>
      </c>
      <c r="K8" s="102">
        <v>9870000</v>
      </c>
      <c r="L8" s="104">
        <f t="shared" si="2"/>
        <v>11.110273119105054</v>
      </c>
    </row>
    <row r="9" spans="1:12" ht="30">
      <c r="B9" s="92" t="s">
        <v>64</v>
      </c>
      <c r="C9" s="102">
        <v>0</v>
      </c>
      <c r="D9" s="104">
        <v>0</v>
      </c>
      <c r="E9" s="102">
        <v>0</v>
      </c>
      <c r="F9" s="104">
        <v>0</v>
      </c>
      <c r="G9" s="102">
        <v>58015000</v>
      </c>
      <c r="H9" s="104">
        <f t="shared" si="0"/>
        <v>66.294068443497778</v>
      </c>
      <c r="I9" s="102">
        <v>57210000</v>
      </c>
      <c r="J9" s="104">
        <f t="shared" si="1"/>
        <v>64.898896798162269</v>
      </c>
      <c r="K9" s="102">
        <v>56400000</v>
      </c>
      <c r="L9" s="104">
        <f t="shared" si="2"/>
        <v>63.487274966314601</v>
      </c>
    </row>
    <row r="10" spans="1:12">
      <c r="B10" s="92" t="s">
        <v>85</v>
      </c>
      <c r="C10" s="102">
        <v>20000000</v>
      </c>
      <c r="D10" s="104">
        <f>C10/$F$4</f>
        <v>23.022722275750052</v>
      </c>
      <c r="E10" s="102">
        <v>20000000</v>
      </c>
      <c r="F10" s="104">
        <f>E10/$H$4</f>
        <v>22.854113054726458</v>
      </c>
      <c r="G10" s="102">
        <v>20000000</v>
      </c>
      <c r="H10" s="104">
        <f t="shared" si="0"/>
        <v>22.854113054726458</v>
      </c>
      <c r="I10" s="102">
        <v>20000000</v>
      </c>
      <c r="J10" s="104">
        <f t="shared" si="1"/>
        <v>22.687955531607159</v>
      </c>
      <c r="K10" s="102">
        <v>0</v>
      </c>
      <c r="L10" s="104">
        <f t="shared" si="2"/>
        <v>0</v>
      </c>
    </row>
    <row r="11" spans="1:12" ht="30">
      <c r="B11" s="92" t="s">
        <v>87</v>
      </c>
      <c r="C11" s="102">
        <v>0</v>
      </c>
      <c r="D11" s="102">
        <v>0</v>
      </c>
      <c r="E11" s="102">
        <v>0</v>
      </c>
      <c r="F11" s="102">
        <v>0</v>
      </c>
      <c r="G11" s="102">
        <v>0</v>
      </c>
      <c r="H11" s="102">
        <f t="shared" si="0"/>
        <v>0</v>
      </c>
      <c r="I11" s="102">
        <v>0</v>
      </c>
      <c r="J11" s="102">
        <f t="shared" si="1"/>
        <v>0</v>
      </c>
      <c r="K11" s="102">
        <v>151650345</v>
      </c>
      <c r="L11" s="104">
        <f t="shared" si="2"/>
        <v>170.70686439275659</v>
      </c>
    </row>
    <row r="12" spans="1:12" ht="30">
      <c r="B12" s="92" t="s">
        <v>88</v>
      </c>
      <c r="C12" s="102">
        <v>0</v>
      </c>
      <c r="D12" s="102">
        <v>0</v>
      </c>
      <c r="E12" s="102">
        <v>0</v>
      </c>
      <c r="F12" s="102">
        <v>0</v>
      </c>
      <c r="G12" s="102">
        <v>0</v>
      </c>
      <c r="H12" s="102">
        <f t="shared" si="0"/>
        <v>0</v>
      </c>
      <c r="I12" s="102">
        <v>0</v>
      </c>
      <c r="J12" s="102">
        <f t="shared" si="1"/>
        <v>0</v>
      </c>
      <c r="K12" s="102">
        <v>63884707</v>
      </c>
      <c r="L12" s="104">
        <f t="shared" si="2"/>
        <v>71.912517011550406</v>
      </c>
    </row>
    <row r="13" spans="1:12" ht="30">
      <c r="B13" s="92" t="s">
        <v>86</v>
      </c>
      <c r="C13" s="183"/>
      <c r="D13" s="184"/>
      <c r="E13" s="183"/>
      <c r="F13" s="184"/>
      <c r="G13" s="183"/>
      <c r="H13" s="184"/>
      <c r="I13" s="183"/>
      <c r="J13" s="184"/>
      <c r="K13" s="183"/>
      <c r="L13" s="184"/>
    </row>
    <row r="14" spans="1:12" ht="30">
      <c r="B14" s="92" t="s">
        <v>89</v>
      </c>
      <c r="C14" s="183"/>
      <c r="D14" s="184"/>
      <c r="E14" s="183"/>
      <c r="F14" s="184"/>
      <c r="G14" s="183"/>
      <c r="H14" s="184"/>
      <c r="I14" s="183"/>
      <c r="J14" s="184"/>
      <c r="K14" s="183"/>
      <c r="L14" s="184"/>
    </row>
    <row r="15" spans="1:12">
      <c r="B15" s="103" t="s">
        <v>33</v>
      </c>
      <c r="C15" s="93">
        <f>SUM(C7:C14)</f>
        <v>75960000</v>
      </c>
      <c r="D15" s="93">
        <f t="shared" ref="D15:L15" si="3">SUM(D7:D14)</f>
        <v>87.440299203298693</v>
      </c>
      <c r="E15" s="93">
        <f t="shared" si="3"/>
        <v>74740000</v>
      </c>
      <c r="F15" s="93">
        <f t="shared" si="3"/>
        <v>85.405820485512777</v>
      </c>
      <c r="G15" s="93">
        <f t="shared" si="3"/>
        <v>91975000</v>
      </c>
      <c r="H15" s="93">
        <f t="shared" si="3"/>
        <v>105.1003524104233</v>
      </c>
      <c r="I15" s="93">
        <f t="shared" si="3"/>
        <v>89865000</v>
      </c>
      <c r="J15" s="93">
        <f t="shared" si="3"/>
        <v>101.94265619239386</v>
      </c>
      <c r="K15" s="93">
        <f t="shared" si="3"/>
        <v>283230052</v>
      </c>
      <c r="L15" s="93">
        <f t="shared" si="3"/>
        <v>318.82099627743935</v>
      </c>
    </row>
    <row r="16" spans="1:12" s="14" customFormat="1">
      <c r="A16" s="90"/>
    </row>
    <row r="17" spans="1:2" s="14" customFormat="1">
      <c r="A17" s="90"/>
      <c r="B17" s="105" t="s">
        <v>32</v>
      </c>
    </row>
    <row r="18" spans="1:2" s="14" customFormat="1">
      <c r="A18" s="90"/>
    </row>
    <row r="19" spans="1:2" s="14" customFormat="1">
      <c r="A19" s="90"/>
    </row>
    <row r="20" spans="1:2" s="14" customFormat="1">
      <c r="A20" s="90"/>
    </row>
    <row r="21" spans="1:2" s="14" customFormat="1">
      <c r="A21" s="90"/>
    </row>
    <row r="22" spans="1:2" s="14" customFormat="1">
      <c r="A22" s="90"/>
    </row>
    <row r="23" spans="1:2" s="14" customFormat="1">
      <c r="A23" s="90"/>
    </row>
    <row r="24" spans="1:2" s="14" customFormat="1">
      <c r="A24" s="90"/>
    </row>
    <row r="25" spans="1:2" s="14" customFormat="1">
      <c r="A25" s="90"/>
    </row>
    <row r="26" spans="1:2" s="14" customFormat="1">
      <c r="A26" s="90"/>
    </row>
    <row r="27" spans="1:2" s="14" customFormat="1">
      <c r="A27" s="90"/>
    </row>
    <row r="28" spans="1:2" s="14" customFormat="1">
      <c r="A28" s="90"/>
    </row>
    <row r="29" spans="1:2" s="14" customFormat="1">
      <c r="A29" s="90"/>
    </row>
    <row r="30" spans="1:2" s="14" customFormat="1">
      <c r="A30" s="90"/>
    </row>
    <row r="31" spans="1:2" s="14" customFormat="1">
      <c r="A31" s="90"/>
    </row>
    <row r="32" spans="1:2" s="14" customFormat="1">
      <c r="A32" s="90"/>
    </row>
    <row r="33" spans="1:1" s="14" customFormat="1">
      <c r="A33" s="90"/>
    </row>
    <row r="34" spans="1:1" s="14" customFormat="1">
      <c r="A34" s="90"/>
    </row>
    <row r="35" spans="1:1" s="14" customFormat="1">
      <c r="A35" s="90"/>
    </row>
    <row r="36" spans="1:1" s="14" customFormat="1">
      <c r="A36" s="90"/>
    </row>
    <row r="37" spans="1:1" s="14" customFormat="1">
      <c r="A37" s="90"/>
    </row>
    <row r="38" spans="1:1" s="14" customFormat="1">
      <c r="A38" s="90"/>
    </row>
    <row r="39" spans="1:1" s="14" customFormat="1">
      <c r="A39" s="90"/>
    </row>
    <row r="40" spans="1:1" s="14" customFormat="1">
      <c r="A40" s="90"/>
    </row>
    <row r="41" spans="1:1" s="14" customFormat="1">
      <c r="A41" s="90"/>
    </row>
    <row r="42" spans="1:1" s="14" customFormat="1">
      <c r="A42" s="90"/>
    </row>
    <row r="43" spans="1:1" s="14" customFormat="1">
      <c r="A43" s="90"/>
    </row>
    <row r="44" spans="1:1" s="14" customFormat="1">
      <c r="A44" s="90"/>
    </row>
    <row r="45" spans="1:1" s="14" customFormat="1">
      <c r="A45" s="90"/>
    </row>
    <row r="46" spans="1:1" s="14" customFormat="1">
      <c r="A46" s="90"/>
    </row>
    <row r="47" spans="1:1" s="14" customFormat="1">
      <c r="A47" s="90"/>
    </row>
    <row r="48" spans="1:1" s="14" customFormat="1">
      <c r="A48" s="90"/>
    </row>
    <row r="49" spans="1:1" s="14" customFormat="1">
      <c r="A49" s="90"/>
    </row>
    <row r="50" spans="1:1" s="14" customFormat="1">
      <c r="A50" s="90"/>
    </row>
    <row r="51" spans="1:1" s="14" customFormat="1">
      <c r="A51" s="90"/>
    </row>
    <row r="52" spans="1:1" s="14" customFormat="1">
      <c r="A52" s="90"/>
    </row>
    <row r="53" spans="1:1" s="14" customFormat="1">
      <c r="A53" s="90"/>
    </row>
    <row r="54" spans="1:1" s="14" customFormat="1">
      <c r="A54" s="90"/>
    </row>
    <row r="55" spans="1:1" s="14" customFormat="1">
      <c r="A55" s="90"/>
    </row>
    <row r="56" spans="1:1" s="14" customFormat="1">
      <c r="A56" s="90"/>
    </row>
    <row r="57" spans="1:1" s="14" customFormat="1">
      <c r="A57" s="90"/>
    </row>
    <row r="58" spans="1:1" s="14" customFormat="1">
      <c r="A58" s="90"/>
    </row>
    <row r="59" spans="1:1" s="14" customFormat="1">
      <c r="A59" s="90"/>
    </row>
    <row r="60" spans="1:1" s="14" customFormat="1">
      <c r="A60" s="90"/>
    </row>
    <row r="61" spans="1:1" s="14" customFormat="1">
      <c r="A61" s="90"/>
    </row>
    <row r="62" spans="1:1" s="14" customFormat="1">
      <c r="A62" s="90"/>
    </row>
    <row r="63" spans="1:1" s="14" customFormat="1">
      <c r="A63" s="90"/>
    </row>
    <row r="64" spans="1:1" s="14" customFormat="1">
      <c r="A64" s="90"/>
    </row>
    <row r="65" spans="1:1" s="14" customFormat="1">
      <c r="A65" s="90"/>
    </row>
    <row r="66" spans="1:1" s="14" customFormat="1">
      <c r="A66" s="90"/>
    </row>
    <row r="67" spans="1:1" s="14" customFormat="1">
      <c r="A67" s="90"/>
    </row>
    <row r="68" spans="1:1" s="14" customFormat="1">
      <c r="A68" s="90"/>
    </row>
    <row r="69" spans="1:1" s="14" customFormat="1">
      <c r="A69" s="90"/>
    </row>
    <row r="70" spans="1:1" s="14" customFormat="1">
      <c r="A70" s="90"/>
    </row>
    <row r="71" spans="1:1" s="14" customFormat="1">
      <c r="A71" s="90"/>
    </row>
    <row r="72" spans="1:1" s="14" customFormat="1">
      <c r="A72" s="90"/>
    </row>
    <row r="73" spans="1:1" s="14" customFormat="1">
      <c r="A73" s="90"/>
    </row>
    <row r="74" spans="1:1" s="14" customFormat="1">
      <c r="A74" s="90"/>
    </row>
    <row r="75" spans="1:1" s="14" customFormat="1">
      <c r="A75" s="90"/>
    </row>
    <row r="76" spans="1:1" s="14" customFormat="1">
      <c r="A76" s="90"/>
    </row>
    <row r="77" spans="1:1" s="14" customFormat="1">
      <c r="A77" s="90"/>
    </row>
    <row r="78" spans="1:1" s="14" customFormat="1">
      <c r="A78" s="90"/>
    </row>
    <row r="79" spans="1:1" s="14" customFormat="1">
      <c r="A79" s="90"/>
    </row>
    <row r="80" spans="1:1" s="14" customFormat="1">
      <c r="A80" s="90"/>
    </row>
    <row r="81" spans="1:1" s="14" customFormat="1">
      <c r="A81" s="90"/>
    </row>
    <row r="82" spans="1:1" s="14" customFormat="1">
      <c r="A82" s="90"/>
    </row>
    <row r="83" spans="1:1" s="14" customFormat="1">
      <c r="A83" s="90"/>
    </row>
    <row r="84" spans="1:1" s="14" customFormat="1">
      <c r="A84" s="90"/>
    </row>
    <row r="85" spans="1:1" s="14" customFormat="1">
      <c r="A85" s="90"/>
    </row>
    <row r="86" spans="1:1" s="14" customFormat="1">
      <c r="A86" s="90"/>
    </row>
    <row r="87" spans="1:1" s="14" customFormat="1">
      <c r="A87" s="90"/>
    </row>
    <row r="88" spans="1:1" s="14" customFormat="1">
      <c r="A88" s="90"/>
    </row>
    <row r="89" spans="1:1" s="14" customFormat="1">
      <c r="A89" s="90"/>
    </row>
    <row r="90" spans="1:1" s="14" customFormat="1">
      <c r="A90" s="90"/>
    </row>
    <row r="91" spans="1:1" s="14" customFormat="1">
      <c r="A91" s="90"/>
    </row>
    <row r="92" spans="1:1" s="14" customFormat="1">
      <c r="A92" s="90"/>
    </row>
    <row r="93" spans="1:1" s="14" customFormat="1">
      <c r="A93" s="90"/>
    </row>
    <row r="94" spans="1:1" s="14" customFormat="1">
      <c r="A94" s="90"/>
    </row>
    <row r="95" spans="1:1" s="14" customFormat="1">
      <c r="A95" s="90"/>
    </row>
    <row r="96" spans="1:1" s="14" customFormat="1">
      <c r="A96" s="90"/>
    </row>
    <row r="97" spans="1:1" s="14" customFormat="1">
      <c r="A97" s="90"/>
    </row>
    <row r="98" spans="1:1" s="14" customFormat="1">
      <c r="A98" s="90"/>
    </row>
    <row r="99" spans="1:1" s="14" customFormat="1">
      <c r="A99" s="90"/>
    </row>
    <row r="100" spans="1:1" s="14" customFormat="1">
      <c r="A100" s="90"/>
    </row>
    <row r="101" spans="1:1" s="14" customFormat="1">
      <c r="A101" s="90"/>
    </row>
    <row r="102" spans="1:1" s="14" customFormat="1">
      <c r="A102" s="90"/>
    </row>
    <row r="103" spans="1:1" s="14" customFormat="1">
      <c r="A103" s="90"/>
    </row>
    <row r="104" spans="1:1" s="14" customFormat="1">
      <c r="A104" s="90"/>
    </row>
    <row r="105" spans="1:1" s="14" customFormat="1">
      <c r="A105" s="90"/>
    </row>
    <row r="106" spans="1:1" s="14" customFormat="1">
      <c r="A106" s="90"/>
    </row>
    <row r="107" spans="1:1" s="14" customFormat="1">
      <c r="A107" s="90"/>
    </row>
    <row r="108" spans="1:1" s="14" customFormat="1">
      <c r="A108" s="90"/>
    </row>
    <row r="109" spans="1:1" s="14" customFormat="1">
      <c r="A109" s="90"/>
    </row>
    <row r="110" spans="1:1" s="14" customFormat="1">
      <c r="A110" s="90"/>
    </row>
    <row r="111" spans="1:1" s="14" customFormat="1">
      <c r="A111" s="90"/>
    </row>
    <row r="112" spans="1:1" s="14" customFormat="1">
      <c r="A112" s="90"/>
    </row>
    <row r="113" spans="1:1" s="14" customFormat="1">
      <c r="A113" s="90"/>
    </row>
    <row r="114" spans="1:1" s="14" customFormat="1">
      <c r="A114" s="90"/>
    </row>
    <row r="115" spans="1:1" s="14" customFormat="1">
      <c r="A115" s="90"/>
    </row>
    <row r="116" spans="1:1" s="14" customFormat="1">
      <c r="A116" s="90"/>
    </row>
    <row r="117" spans="1:1" s="14" customFormat="1">
      <c r="A117" s="90"/>
    </row>
    <row r="118" spans="1:1" s="14" customFormat="1">
      <c r="A118" s="90"/>
    </row>
    <row r="119" spans="1:1" s="14" customFormat="1">
      <c r="A119" s="90"/>
    </row>
    <row r="120" spans="1:1" s="14" customFormat="1">
      <c r="A120" s="90"/>
    </row>
    <row r="121" spans="1:1" s="14" customFormat="1">
      <c r="A121" s="90"/>
    </row>
    <row r="122" spans="1:1" s="14" customFormat="1">
      <c r="A122" s="90"/>
    </row>
    <row r="123" spans="1:1" s="14" customFormat="1">
      <c r="A123" s="90"/>
    </row>
    <row r="124" spans="1:1" s="14" customFormat="1">
      <c r="A124" s="90"/>
    </row>
    <row r="125" spans="1:1" s="14" customFormat="1">
      <c r="A125" s="90"/>
    </row>
    <row r="126" spans="1:1" s="14" customFormat="1">
      <c r="A126" s="90"/>
    </row>
    <row r="127" spans="1:1" s="14" customFormat="1">
      <c r="A127" s="90"/>
    </row>
    <row r="128" spans="1:1" s="14" customFormat="1">
      <c r="A128" s="90"/>
    </row>
    <row r="129" spans="1:1" s="14" customFormat="1">
      <c r="A129" s="90"/>
    </row>
    <row r="130" spans="1:1" s="14" customFormat="1">
      <c r="A130" s="90"/>
    </row>
    <row r="131" spans="1:1" s="14" customFormat="1">
      <c r="A131" s="90"/>
    </row>
    <row r="132" spans="1:1" s="14" customFormat="1">
      <c r="A132" s="90"/>
    </row>
    <row r="133" spans="1:1" s="14" customFormat="1">
      <c r="A133" s="90"/>
    </row>
    <row r="134" spans="1:1" s="14" customFormat="1">
      <c r="A134" s="90"/>
    </row>
    <row r="135" spans="1:1" s="14" customFormat="1">
      <c r="A135" s="90"/>
    </row>
    <row r="136" spans="1:1" s="14" customFormat="1">
      <c r="A136" s="90"/>
    </row>
    <row r="137" spans="1:1" s="14" customFormat="1">
      <c r="A137" s="90"/>
    </row>
    <row r="138" spans="1:1" s="14" customFormat="1">
      <c r="A138" s="90"/>
    </row>
    <row r="139" spans="1:1" s="14" customFormat="1">
      <c r="A139" s="90"/>
    </row>
    <row r="140" spans="1:1" s="14" customFormat="1">
      <c r="A140" s="90"/>
    </row>
    <row r="141" spans="1:1" s="14" customFormat="1">
      <c r="A141" s="90"/>
    </row>
    <row r="142" spans="1:1" s="14" customFormat="1">
      <c r="A142" s="90"/>
    </row>
    <row r="143" spans="1:1" s="14" customFormat="1">
      <c r="A143" s="90"/>
    </row>
    <row r="144" spans="1:1" s="14" customFormat="1">
      <c r="A144" s="90"/>
    </row>
    <row r="145" spans="1:1" s="14" customFormat="1">
      <c r="A145" s="90"/>
    </row>
    <row r="146" spans="1:1" s="14" customFormat="1">
      <c r="A146" s="90"/>
    </row>
    <row r="147" spans="1:1" s="14" customFormat="1">
      <c r="A147" s="90"/>
    </row>
    <row r="148" spans="1:1" s="14" customFormat="1">
      <c r="A148" s="90"/>
    </row>
    <row r="149" spans="1:1" s="14" customFormat="1">
      <c r="A149" s="90"/>
    </row>
    <row r="150" spans="1:1" s="14" customFormat="1">
      <c r="A150" s="90"/>
    </row>
    <row r="151" spans="1:1" s="14" customFormat="1">
      <c r="A151" s="90"/>
    </row>
    <row r="152" spans="1:1" s="14" customFormat="1">
      <c r="A152" s="90"/>
    </row>
    <row r="153" spans="1:1" s="14" customFormat="1">
      <c r="A153" s="90"/>
    </row>
    <row r="154" spans="1:1" s="14" customFormat="1">
      <c r="A154" s="90"/>
    </row>
    <row r="155" spans="1:1" s="14" customFormat="1">
      <c r="A155" s="90"/>
    </row>
    <row r="156" spans="1:1" s="14" customFormat="1">
      <c r="A156" s="90"/>
    </row>
    <row r="157" spans="1:1" s="14" customFormat="1">
      <c r="A157" s="90"/>
    </row>
    <row r="158" spans="1:1" s="14" customFormat="1">
      <c r="A158" s="90"/>
    </row>
    <row r="159" spans="1:1" s="14" customFormat="1">
      <c r="A159" s="90"/>
    </row>
    <row r="160" spans="1:1" s="14" customFormat="1">
      <c r="A160" s="90"/>
    </row>
    <row r="161" spans="1:1" s="14" customFormat="1">
      <c r="A161" s="90"/>
    </row>
    <row r="162" spans="1:1" s="14" customFormat="1">
      <c r="A162" s="90"/>
    </row>
    <row r="163" spans="1:1" s="14" customFormat="1">
      <c r="A163" s="90"/>
    </row>
    <row r="164" spans="1:1" s="14" customFormat="1">
      <c r="A164" s="90"/>
    </row>
    <row r="165" spans="1:1" s="14" customFormat="1">
      <c r="A165" s="90"/>
    </row>
    <row r="166" spans="1:1" s="14" customFormat="1">
      <c r="A166" s="90"/>
    </row>
    <row r="167" spans="1:1" s="14" customFormat="1">
      <c r="A167" s="90"/>
    </row>
    <row r="168" spans="1:1" s="14" customFormat="1">
      <c r="A168" s="90"/>
    </row>
    <row r="169" spans="1:1" s="14" customFormat="1">
      <c r="A169" s="90"/>
    </row>
    <row r="170" spans="1:1" s="14" customFormat="1">
      <c r="A170" s="90"/>
    </row>
    <row r="171" spans="1:1" s="14" customFormat="1">
      <c r="A171" s="90"/>
    </row>
    <row r="172" spans="1:1" s="14" customFormat="1">
      <c r="A172" s="90"/>
    </row>
    <row r="173" spans="1:1" s="14" customFormat="1">
      <c r="A173" s="90"/>
    </row>
    <row r="174" spans="1:1" s="14" customFormat="1">
      <c r="A174" s="90"/>
    </row>
    <row r="175" spans="1:1" s="14" customFormat="1">
      <c r="A175" s="90"/>
    </row>
    <row r="176" spans="1:1" s="14" customFormat="1">
      <c r="A176" s="90"/>
    </row>
    <row r="177" spans="1:1" s="14" customFormat="1">
      <c r="A177" s="90"/>
    </row>
    <row r="178" spans="1:1" s="14" customFormat="1">
      <c r="A178" s="90"/>
    </row>
    <row r="179" spans="1:1" s="14" customFormat="1">
      <c r="A179" s="90"/>
    </row>
    <row r="180" spans="1:1" s="14" customFormat="1">
      <c r="A180" s="90"/>
    </row>
    <row r="181" spans="1:1" s="14" customFormat="1">
      <c r="A181" s="90"/>
    </row>
    <row r="182" spans="1:1" s="14" customFormat="1">
      <c r="A182" s="90"/>
    </row>
    <row r="183" spans="1:1" s="14" customFormat="1">
      <c r="A183" s="90"/>
    </row>
    <row r="184" spans="1:1" s="14" customFormat="1">
      <c r="A184" s="90"/>
    </row>
    <row r="185" spans="1:1" s="14" customFormat="1">
      <c r="A185" s="90"/>
    </row>
    <row r="186" spans="1:1" s="14" customFormat="1">
      <c r="A186" s="90"/>
    </row>
    <row r="187" spans="1:1" s="14" customFormat="1">
      <c r="A187" s="90"/>
    </row>
    <row r="188" spans="1:1" s="14" customFormat="1">
      <c r="A188" s="90"/>
    </row>
    <row r="189" spans="1:1" s="14" customFormat="1">
      <c r="A189" s="90"/>
    </row>
    <row r="190" spans="1:1" s="14" customFormat="1">
      <c r="A190" s="90"/>
    </row>
    <row r="191" spans="1:1" s="14" customFormat="1">
      <c r="A191" s="90"/>
    </row>
    <row r="192" spans="1:1" s="14" customFormat="1">
      <c r="A192" s="90"/>
    </row>
    <row r="193" spans="1:1" s="14" customFormat="1">
      <c r="A193" s="90"/>
    </row>
    <row r="194" spans="1:1" s="14" customFormat="1">
      <c r="A194" s="90"/>
    </row>
    <row r="195" spans="1:1" s="14" customFormat="1">
      <c r="A195" s="90"/>
    </row>
    <row r="196" spans="1:1" s="14" customFormat="1">
      <c r="A196" s="90"/>
    </row>
    <row r="197" spans="1:1" s="14" customFormat="1">
      <c r="A197" s="90"/>
    </row>
    <row r="198" spans="1:1" s="14" customFormat="1">
      <c r="A198" s="90"/>
    </row>
    <row r="199" spans="1:1" s="14" customFormat="1">
      <c r="A199" s="90"/>
    </row>
    <row r="200" spans="1:1" s="14" customFormat="1">
      <c r="A200" s="90"/>
    </row>
    <row r="201" spans="1:1" s="14" customFormat="1">
      <c r="A201" s="90"/>
    </row>
    <row r="202" spans="1:1" s="14" customFormat="1">
      <c r="A202" s="90"/>
    </row>
  </sheetData>
  <mergeCells count="4">
    <mergeCell ref="B1:L1"/>
    <mergeCell ref="B2:L2"/>
    <mergeCell ref="I3:J3"/>
    <mergeCell ref="K3:L3"/>
  </mergeCells>
  <pageMargins left="0.7" right="0.7" top="0.75" bottom="0.75" header="0.3" footer="0.3"/>
  <pageSetup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E3FAF-1F9F-44B1-802A-793384C57069}">
  <sheetPr>
    <tabColor theme="5" tint="0.39997558519241921"/>
  </sheetPr>
  <dimension ref="A1:AK63"/>
  <sheetViews>
    <sheetView topLeftCell="A30" zoomScaleNormal="100" workbookViewId="0">
      <selection activeCell="AA61" sqref="AA61"/>
    </sheetView>
  </sheetViews>
  <sheetFormatPr defaultColWidth="8" defaultRowHeight="12.75"/>
  <cols>
    <col min="1" max="1" width="12.42578125" style="186" customWidth="1"/>
    <col min="2" max="2" width="2.5703125" style="186" customWidth="1"/>
    <col min="3" max="3" width="10.140625" style="186" customWidth="1"/>
    <col min="4" max="4" width="1.5703125" style="186" customWidth="1"/>
    <col min="5" max="5" width="8.140625" style="186" customWidth="1"/>
    <col min="6" max="6" width="1.5703125" style="186" customWidth="1"/>
    <col min="7" max="7" width="10.7109375" style="186" customWidth="1"/>
    <col min="8" max="8" width="1.5703125" style="186" customWidth="1"/>
    <col min="9" max="9" width="11.5703125" style="186" customWidth="1"/>
    <col min="10" max="10" width="1.5703125" style="186" customWidth="1"/>
    <col min="11" max="11" width="12.140625" style="186" customWidth="1"/>
    <col min="12" max="12" width="1.85546875" style="186" customWidth="1"/>
    <col min="13" max="13" width="12.140625" style="186" customWidth="1"/>
    <col min="14" max="14" width="1.85546875" style="186" customWidth="1"/>
    <col min="15" max="15" width="12.140625" style="186" customWidth="1"/>
    <col min="16" max="16" width="1.5703125" style="186" customWidth="1"/>
    <col min="17" max="17" width="12.140625" style="186" customWidth="1"/>
    <col min="18" max="18" width="1.5703125" style="186" customWidth="1"/>
    <col min="19" max="19" width="12.140625" style="186" customWidth="1"/>
    <col min="20" max="20" width="1.140625" style="186" customWidth="1"/>
    <col min="21" max="21" width="12.140625" style="186" customWidth="1"/>
    <col min="22" max="22" width="1.5703125" style="186" customWidth="1"/>
    <col min="23" max="23" width="12.140625" style="186" customWidth="1"/>
    <col min="24" max="24" width="1.5703125" style="186" customWidth="1"/>
    <col min="25" max="25" width="12.140625" style="186" customWidth="1"/>
    <col min="26" max="26" width="2.140625" style="186" customWidth="1"/>
    <col min="27" max="27" width="11.85546875" style="186" customWidth="1"/>
    <col min="28" max="28" width="3" style="186" customWidth="1"/>
    <col min="29" max="29" width="12" style="186" customWidth="1"/>
    <col min="30" max="30" width="1.5703125" style="186" customWidth="1"/>
    <col min="31" max="31" width="12.140625" style="186" customWidth="1"/>
    <col min="32" max="32" width="1.5703125" style="186" customWidth="1"/>
    <col min="33" max="33" width="12.140625" style="186" bestFit="1" customWidth="1"/>
    <col min="34" max="34" width="1.85546875" style="186" customWidth="1"/>
    <col min="35" max="35" width="13.140625" style="186" bestFit="1" customWidth="1"/>
    <col min="36" max="36" width="2.7109375" style="186" bestFit="1" customWidth="1"/>
    <col min="37" max="37" width="10.85546875" style="186" customWidth="1"/>
    <col min="38" max="16384" width="8" style="186"/>
  </cols>
  <sheetData>
    <row r="1" spans="1:36" ht="15.75">
      <c r="A1" s="230" t="s">
        <v>103</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row>
    <row r="2" spans="1:36" ht="15.75">
      <c r="A2" s="21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row>
    <row r="3" spans="1:36" ht="15.75">
      <c r="A3" s="212"/>
      <c r="B3" s="212"/>
      <c r="C3" s="215" t="s">
        <v>55</v>
      </c>
      <c r="D3" s="213"/>
      <c r="E3" s="213"/>
      <c r="F3" s="215"/>
      <c r="G3" s="213" t="s">
        <v>102</v>
      </c>
      <c r="H3" s="213"/>
      <c r="I3" s="213"/>
      <c r="J3" s="213"/>
      <c r="K3" s="213"/>
      <c r="L3" s="213"/>
      <c r="M3" s="213"/>
      <c r="O3" s="213" t="s">
        <v>101</v>
      </c>
      <c r="P3" s="214"/>
      <c r="Q3" s="214"/>
      <c r="R3" s="213"/>
      <c r="S3" s="213"/>
      <c r="T3" s="213"/>
      <c r="U3" s="213"/>
      <c r="V3" s="212"/>
      <c r="W3" s="213"/>
      <c r="X3" s="213"/>
      <c r="Y3" s="213"/>
      <c r="Z3" s="213"/>
      <c r="AA3" s="213"/>
      <c r="AB3" s="213"/>
      <c r="AC3" s="213"/>
      <c r="AD3" s="213"/>
      <c r="AE3" s="213"/>
      <c r="AF3" s="213"/>
      <c r="AG3" s="212"/>
      <c r="AH3" s="212"/>
      <c r="AI3" s="212"/>
    </row>
    <row r="4" spans="1:36">
      <c r="G4" s="211"/>
      <c r="H4" s="209"/>
      <c r="I4" s="209"/>
      <c r="J4" s="209"/>
      <c r="K4" s="209"/>
      <c r="L4" s="209"/>
      <c r="S4" s="211"/>
      <c r="T4" s="209"/>
      <c r="U4" s="209"/>
      <c r="V4" s="209"/>
      <c r="W4" s="209"/>
      <c r="X4" s="209"/>
      <c r="Y4" s="209"/>
      <c r="Z4" s="209"/>
      <c r="AA4" s="209"/>
      <c r="AB4" s="209"/>
      <c r="AC4" s="209"/>
      <c r="AD4" s="209"/>
    </row>
    <row r="5" spans="1:36" s="206" customFormat="1">
      <c r="A5" s="186" t="s">
        <v>41</v>
      </c>
      <c r="C5" s="231">
        <v>61600000</v>
      </c>
      <c r="D5" s="232"/>
      <c r="E5" s="232"/>
      <c r="F5" s="210"/>
      <c r="G5" s="208">
        <v>9870000</v>
      </c>
      <c r="H5" s="207"/>
      <c r="I5" s="207"/>
      <c r="J5" s="188"/>
      <c r="K5" s="231">
        <v>58015000</v>
      </c>
      <c r="L5" s="232"/>
      <c r="M5" s="232"/>
      <c r="O5" s="231">
        <v>151650345</v>
      </c>
      <c r="P5" s="232"/>
      <c r="Q5" s="232"/>
      <c r="S5" s="208">
        <v>63884707</v>
      </c>
      <c r="T5" s="207"/>
      <c r="U5" s="207"/>
      <c r="V5" s="207"/>
      <c r="W5" s="188"/>
      <c r="X5" s="188"/>
      <c r="Y5" s="188"/>
      <c r="Z5" s="188"/>
      <c r="AA5" s="188"/>
      <c r="AB5" s="188"/>
    </row>
    <row r="6" spans="1:36">
      <c r="C6" s="200" t="s">
        <v>39</v>
      </c>
      <c r="D6" s="200"/>
      <c r="E6" s="200"/>
      <c r="G6" s="200" t="s">
        <v>70</v>
      </c>
      <c r="H6" s="200"/>
      <c r="I6" s="200"/>
      <c r="J6" s="188"/>
      <c r="K6" s="200" t="s">
        <v>71</v>
      </c>
      <c r="L6" s="200"/>
      <c r="M6" s="200"/>
      <c r="O6" s="200" t="s">
        <v>100</v>
      </c>
      <c r="P6" s="200"/>
      <c r="Q6" s="200"/>
      <c r="R6" s="200"/>
      <c r="S6" s="200" t="s">
        <v>99</v>
      </c>
      <c r="T6" s="200"/>
      <c r="U6" s="200"/>
      <c r="V6" s="207"/>
      <c r="W6" s="188"/>
      <c r="X6" s="188"/>
      <c r="Y6" s="200" t="s">
        <v>40</v>
      </c>
      <c r="Z6" s="200"/>
      <c r="AA6" s="200"/>
      <c r="AB6" s="188"/>
      <c r="AE6" s="206"/>
      <c r="AF6" s="206"/>
      <c r="AG6" s="188"/>
      <c r="AH6" s="188"/>
      <c r="AI6" s="188"/>
      <c r="AJ6" s="188"/>
    </row>
    <row r="7" spans="1:36" ht="12.6" customHeight="1">
      <c r="A7" s="195" t="s">
        <v>38</v>
      </c>
      <c r="C7" s="195" t="s">
        <v>2</v>
      </c>
      <c r="D7" s="195"/>
      <c r="E7" s="195" t="s">
        <v>3</v>
      </c>
      <c r="F7" s="195"/>
      <c r="G7" s="195" t="s">
        <v>2</v>
      </c>
      <c r="H7" s="195"/>
      <c r="I7" s="195" t="s">
        <v>3</v>
      </c>
      <c r="J7" s="188"/>
      <c r="K7" s="195" t="s">
        <v>2</v>
      </c>
      <c r="L7" s="195"/>
      <c r="M7" s="195" t="s">
        <v>3</v>
      </c>
      <c r="O7" s="195" t="s">
        <v>2</v>
      </c>
      <c r="Q7" s="205" t="s">
        <v>3</v>
      </c>
      <c r="R7" s="195"/>
      <c r="S7" s="195" t="s">
        <v>2</v>
      </c>
      <c r="T7" s="195"/>
      <c r="U7" s="205" t="s">
        <v>3</v>
      </c>
      <c r="V7" s="195"/>
      <c r="W7" s="188"/>
      <c r="X7" s="188"/>
      <c r="Y7" s="195" t="s">
        <v>2</v>
      </c>
      <c r="Z7" s="195"/>
      <c r="AA7" s="195" t="s">
        <v>3</v>
      </c>
      <c r="AB7" s="195"/>
      <c r="AC7" s="195"/>
      <c r="AD7" s="195"/>
      <c r="AE7" s="195"/>
      <c r="AF7" s="195"/>
      <c r="AG7" s="188"/>
      <c r="AH7" s="188"/>
      <c r="AI7" s="188"/>
      <c r="AJ7" s="188"/>
    </row>
    <row r="8" spans="1:36" ht="12.6" customHeight="1">
      <c r="A8" s="195">
        <v>2023</v>
      </c>
      <c r="B8" s="186">
        <v>1</v>
      </c>
      <c r="C8" s="158">
        <v>1425000</v>
      </c>
      <c r="E8" s="158">
        <v>71250</v>
      </c>
      <c r="F8" s="158"/>
      <c r="G8" s="158">
        <v>0</v>
      </c>
      <c r="H8" s="158"/>
      <c r="I8" s="158">
        <v>369000</v>
      </c>
      <c r="J8" s="158"/>
      <c r="K8" s="158">
        <v>815000</v>
      </c>
      <c r="L8" s="158"/>
      <c r="M8" s="187">
        <v>1285854</v>
      </c>
      <c r="O8" s="187">
        <v>0</v>
      </c>
      <c r="P8" s="187"/>
      <c r="Q8" s="187">
        <f t="shared" ref="Q8:Q13" si="0">1647950+1647950</f>
        <v>3295900</v>
      </c>
      <c r="R8" s="187"/>
      <c r="S8" s="187">
        <v>0</v>
      </c>
      <c r="T8" s="187"/>
      <c r="U8" s="187">
        <f t="shared" ref="U8:U13" si="1">739175+739175</f>
        <v>1478350</v>
      </c>
      <c r="V8" s="187"/>
      <c r="W8" s="187"/>
      <c r="X8" s="187"/>
      <c r="Y8" s="187">
        <f t="shared" ref="Y8:Y41" si="2">C8+G8+K8+O8+S8</f>
        <v>2240000</v>
      </c>
      <c r="Z8" s="187"/>
      <c r="AA8" s="187">
        <f t="shared" ref="AA8:AA41" si="3">E8+I8+M8+Q8+U8</f>
        <v>6500354</v>
      </c>
      <c r="AB8" s="186">
        <v>1</v>
      </c>
      <c r="AC8" s="187"/>
      <c r="AD8" s="187"/>
      <c r="AE8" s="187"/>
      <c r="AF8" s="187"/>
      <c r="AG8" s="188"/>
      <c r="AH8" s="188"/>
      <c r="AI8" s="188"/>
      <c r="AJ8" s="188"/>
    </row>
    <row r="9" spans="1:36">
      <c r="A9" s="195">
        <f t="shared" ref="A9:A41" si="4">A8+1</f>
        <v>2024</v>
      </c>
      <c r="B9" s="186">
        <v>2</v>
      </c>
      <c r="C9" s="158">
        <v>0</v>
      </c>
      <c r="E9" s="158">
        <v>0</v>
      </c>
      <c r="F9" s="158"/>
      <c r="G9" s="158">
        <v>0</v>
      </c>
      <c r="H9" s="158"/>
      <c r="I9" s="158">
        <v>369000</v>
      </c>
      <c r="J9" s="158"/>
      <c r="K9" s="158">
        <v>2325000</v>
      </c>
      <c r="L9" s="158"/>
      <c r="M9" s="187">
        <v>1279317</v>
      </c>
      <c r="O9" s="187">
        <v>0</v>
      </c>
      <c r="P9" s="187"/>
      <c r="Q9" s="187">
        <f t="shared" si="0"/>
        <v>3295900</v>
      </c>
      <c r="R9" s="187"/>
      <c r="S9" s="187">
        <v>0</v>
      </c>
      <c r="T9" s="187"/>
      <c r="U9" s="187">
        <f t="shared" si="1"/>
        <v>1478350</v>
      </c>
      <c r="V9" s="187"/>
      <c r="W9" s="187"/>
      <c r="X9" s="187"/>
      <c r="Y9" s="187">
        <f t="shared" si="2"/>
        <v>2325000</v>
      </c>
      <c r="Z9" s="187"/>
      <c r="AA9" s="187">
        <f t="shared" si="3"/>
        <v>6422567</v>
      </c>
      <c r="AB9" s="186">
        <v>2</v>
      </c>
      <c r="AC9" s="187"/>
      <c r="AD9" s="187"/>
      <c r="AE9" s="187"/>
      <c r="AF9" s="187"/>
      <c r="AG9" s="188"/>
      <c r="AH9" s="188"/>
      <c r="AI9" s="188"/>
      <c r="AJ9" s="188"/>
    </row>
    <row r="10" spans="1:36" ht="15.6" customHeight="1">
      <c r="A10" s="195">
        <f t="shared" si="4"/>
        <v>2025</v>
      </c>
      <c r="B10" s="186">
        <v>3</v>
      </c>
      <c r="C10" s="158">
        <v>0</v>
      </c>
      <c r="E10" s="158">
        <v>0</v>
      </c>
      <c r="F10" s="158"/>
      <c r="G10" s="158">
        <v>0</v>
      </c>
      <c r="H10" s="158"/>
      <c r="I10" s="158">
        <v>369000</v>
      </c>
      <c r="J10" s="158"/>
      <c r="K10" s="158">
        <v>2345000</v>
      </c>
      <c r="L10" s="158"/>
      <c r="M10" s="187">
        <v>1256904</v>
      </c>
      <c r="O10" s="187">
        <v>0</v>
      </c>
      <c r="P10" s="187"/>
      <c r="Q10" s="187">
        <f t="shared" si="0"/>
        <v>3295900</v>
      </c>
      <c r="R10" s="187"/>
      <c r="S10" s="187">
        <v>0</v>
      </c>
      <c r="T10" s="187"/>
      <c r="U10" s="187">
        <f t="shared" si="1"/>
        <v>1478350</v>
      </c>
      <c r="V10" s="187"/>
      <c r="W10" s="187"/>
      <c r="X10" s="187"/>
      <c r="Y10" s="187">
        <f t="shared" si="2"/>
        <v>2345000</v>
      </c>
      <c r="Z10" s="187"/>
      <c r="AA10" s="187">
        <f t="shared" si="3"/>
        <v>6400154</v>
      </c>
      <c r="AB10" s="186">
        <v>3</v>
      </c>
      <c r="AC10" s="187"/>
      <c r="AD10" s="187"/>
      <c r="AE10" s="187"/>
      <c r="AF10" s="187"/>
      <c r="AG10" s="188"/>
      <c r="AH10" s="188"/>
      <c r="AI10" s="188"/>
      <c r="AJ10" s="188"/>
    </row>
    <row r="11" spans="1:36">
      <c r="A11" s="195">
        <f t="shared" si="4"/>
        <v>2026</v>
      </c>
      <c r="B11" s="186">
        <v>4</v>
      </c>
      <c r="C11" s="158">
        <v>0</v>
      </c>
      <c r="E11" s="158">
        <v>0</v>
      </c>
      <c r="F11" s="158"/>
      <c r="G11" s="158">
        <v>0</v>
      </c>
      <c r="H11" s="158"/>
      <c r="I11" s="158">
        <v>369000</v>
      </c>
      <c r="J11" s="158"/>
      <c r="K11" s="158">
        <v>2365000</v>
      </c>
      <c r="L11" s="158"/>
      <c r="M11" s="187">
        <v>1231954</v>
      </c>
      <c r="O11" s="187">
        <v>0</v>
      </c>
      <c r="P11" s="187"/>
      <c r="Q11" s="187">
        <f t="shared" si="0"/>
        <v>3295900</v>
      </c>
      <c r="R11" s="187"/>
      <c r="S11" s="187">
        <v>0</v>
      </c>
      <c r="T11" s="187"/>
      <c r="U11" s="187">
        <f t="shared" si="1"/>
        <v>1478350</v>
      </c>
      <c r="V11" s="187"/>
      <c r="W11" s="187"/>
      <c r="X11" s="187"/>
      <c r="Y11" s="187">
        <f t="shared" si="2"/>
        <v>2365000</v>
      </c>
      <c r="Z11" s="187"/>
      <c r="AA11" s="187">
        <f t="shared" si="3"/>
        <v>6375204</v>
      </c>
      <c r="AB11" s="186">
        <v>4</v>
      </c>
      <c r="AC11" s="187"/>
      <c r="AD11" s="187"/>
      <c r="AE11" s="187"/>
      <c r="AF11" s="187"/>
      <c r="AG11" s="188"/>
      <c r="AH11" s="188"/>
      <c r="AI11" s="188"/>
      <c r="AJ11" s="188"/>
    </row>
    <row r="12" spans="1:36">
      <c r="A12" s="195">
        <f t="shared" si="4"/>
        <v>2027</v>
      </c>
      <c r="B12" s="186">
        <v>5</v>
      </c>
      <c r="C12" s="158">
        <v>0</v>
      </c>
      <c r="E12" s="158">
        <v>0</v>
      </c>
      <c r="F12" s="158"/>
      <c r="G12" s="158">
        <v>0</v>
      </c>
      <c r="H12" s="158"/>
      <c r="I12" s="158">
        <v>369000</v>
      </c>
      <c r="J12" s="158"/>
      <c r="K12" s="158">
        <v>2400000</v>
      </c>
      <c r="L12" s="158"/>
      <c r="M12" s="187">
        <v>1199695</v>
      </c>
      <c r="O12" s="187">
        <v>0</v>
      </c>
      <c r="P12" s="187"/>
      <c r="Q12" s="187">
        <f t="shared" si="0"/>
        <v>3295900</v>
      </c>
      <c r="R12" s="187"/>
      <c r="S12" s="187">
        <v>0</v>
      </c>
      <c r="T12" s="187"/>
      <c r="U12" s="187">
        <f t="shared" si="1"/>
        <v>1478350</v>
      </c>
      <c r="V12" s="187"/>
      <c r="W12" s="187"/>
      <c r="X12" s="187"/>
      <c r="Y12" s="187">
        <f t="shared" si="2"/>
        <v>2400000</v>
      </c>
      <c r="Z12" s="187"/>
      <c r="AA12" s="187">
        <f t="shared" si="3"/>
        <v>6342945</v>
      </c>
      <c r="AB12" s="186">
        <v>5</v>
      </c>
      <c r="AC12" s="187"/>
      <c r="AD12" s="187"/>
      <c r="AE12" s="187"/>
      <c r="AF12" s="187"/>
      <c r="AG12" s="188"/>
      <c r="AH12" s="188"/>
      <c r="AI12" s="188"/>
      <c r="AJ12" s="188"/>
    </row>
    <row r="13" spans="1:36">
      <c r="A13" s="195">
        <f t="shared" si="4"/>
        <v>2028</v>
      </c>
      <c r="B13" s="186">
        <v>6</v>
      </c>
      <c r="C13" s="158">
        <v>0</v>
      </c>
      <c r="E13" s="158">
        <v>0</v>
      </c>
      <c r="F13" s="158"/>
      <c r="G13" s="158">
        <v>0</v>
      </c>
      <c r="H13" s="158"/>
      <c r="I13" s="158">
        <v>369000</v>
      </c>
      <c r="J13" s="158"/>
      <c r="K13" s="158">
        <v>2435000</v>
      </c>
      <c r="L13" s="158"/>
      <c r="M13" s="187">
        <v>1164559</v>
      </c>
      <c r="O13" s="187">
        <v>800000</v>
      </c>
      <c r="P13" s="187"/>
      <c r="Q13" s="187">
        <f t="shared" si="0"/>
        <v>3295900</v>
      </c>
      <c r="R13" s="187"/>
      <c r="S13" s="187">
        <v>240000</v>
      </c>
      <c r="T13" s="187"/>
      <c r="U13" s="187">
        <f t="shared" si="1"/>
        <v>1478350</v>
      </c>
      <c r="V13" s="187"/>
      <c r="W13" s="187"/>
      <c r="X13" s="187"/>
      <c r="Y13" s="187">
        <f t="shared" si="2"/>
        <v>3475000</v>
      </c>
      <c r="Z13" s="187"/>
      <c r="AA13" s="187">
        <f t="shared" si="3"/>
        <v>6307809</v>
      </c>
      <c r="AB13" s="186">
        <v>6</v>
      </c>
      <c r="AC13" s="187"/>
      <c r="AD13" s="187"/>
      <c r="AE13" s="187"/>
      <c r="AF13" s="187"/>
      <c r="AG13" s="188"/>
      <c r="AH13" s="188"/>
      <c r="AI13" s="188"/>
      <c r="AJ13" s="188"/>
    </row>
    <row r="14" spans="1:36">
      <c r="A14" s="195">
        <f t="shared" si="4"/>
        <v>2029</v>
      </c>
      <c r="B14" s="186">
        <v>7</v>
      </c>
      <c r="C14" s="158">
        <v>0</v>
      </c>
      <c r="E14" s="158">
        <v>0</v>
      </c>
      <c r="F14" s="158"/>
      <c r="G14" s="158">
        <v>0</v>
      </c>
      <c r="H14" s="158"/>
      <c r="I14" s="158">
        <v>369000</v>
      </c>
      <c r="J14" s="158"/>
      <c r="K14" s="158">
        <v>2475000</v>
      </c>
      <c r="L14" s="158"/>
      <c r="M14" s="187">
        <v>1123602</v>
      </c>
      <c r="O14" s="187">
        <v>1600000</v>
      </c>
      <c r="P14" s="187"/>
      <c r="Q14" s="187">
        <f>1627950+1627950</f>
        <v>3255900</v>
      </c>
      <c r="R14" s="187"/>
      <c r="S14" s="187">
        <v>475000</v>
      </c>
      <c r="T14" s="187"/>
      <c r="U14" s="187">
        <f>733175+733175</f>
        <v>1466350</v>
      </c>
      <c r="V14" s="187"/>
      <c r="W14" s="187"/>
      <c r="X14" s="187"/>
      <c r="Y14" s="187">
        <f t="shared" si="2"/>
        <v>4550000</v>
      </c>
      <c r="Z14" s="187"/>
      <c r="AA14" s="187">
        <f t="shared" si="3"/>
        <v>6214852</v>
      </c>
      <c r="AB14" s="186">
        <v>7</v>
      </c>
      <c r="AC14" s="187"/>
      <c r="AD14" s="187"/>
      <c r="AE14" s="187"/>
      <c r="AF14" s="187"/>
      <c r="AG14" s="188"/>
      <c r="AH14" s="188"/>
      <c r="AI14" s="188"/>
      <c r="AJ14" s="188"/>
    </row>
    <row r="15" spans="1:36">
      <c r="A15" s="195">
        <f t="shared" si="4"/>
        <v>2030</v>
      </c>
      <c r="B15" s="186">
        <v>8</v>
      </c>
      <c r="C15" s="158">
        <v>0</v>
      </c>
      <c r="E15" s="158">
        <v>0</v>
      </c>
      <c r="F15" s="158"/>
      <c r="G15" s="158">
        <v>0</v>
      </c>
      <c r="H15" s="158"/>
      <c r="I15" s="158">
        <v>369000</v>
      </c>
      <c r="J15" s="158"/>
      <c r="K15" s="158">
        <v>2520000</v>
      </c>
      <c r="L15" s="158"/>
      <c r="M15" s="187">
        <v>1079498</v>
      </c>
      <c r="O15" s="187">
        <v>2600000</v>
      </c>
      <c r="P15" s="187"/>
      <c r="Q15" s="187">
        <f>1587950+1587950</f>
        <v>3175900</v>
      </c>
      <c r="R15" s="187"/>
      <c r="S15" s="187">
        <v>960000</v>
      </c>
      <c r="T15" s="187"/>
      <c r="U15" s="187">
        <f>721300+721300</f>
        <v>1442600</v>
      </c>
      <c r="V15" s="187"/>
      <c r="W15" s="187"/>
      <c r="X15" s="187"/>
      <c r="Y15" s="187">
        <f t="shared" si="2"/>
        <v>6080000</v>
      </c>
      <c r="Z15" s="187"/>
      <c r="AA15" s="187">
        <f t="shared" si="3"/>
        <v>6066998</v>
      </c>
      <c r="AB15" s="186">
        <v>8</v>
      </c>
      <c r="AC15" s="187"/>
      <c r="AD15" s="187"/>
      <c r="AE15" s="187"/>
      <c r="AF15" s="187"/>
      <c r="AG15" s="188"/>
      <c r="AH15" s="188"/>
      <c r="AI15" s="188"/>
      <c r="AJ15" s="188"/>
    </row>
    <row r="16" spans="1:36">
      <c r="A16" s="195">
        <f t="shared" si="4"/>
        <v>2031</v>
      </c>
      <c r="B16" s="186">
        <v>9</v>
      </c>
      <c r="C16" s="158">
        <v>0</v>
      </c>
      <c r="E16" s="158">
        <v>0</v>
      </c>
      <c r="F16" s="158"/>
      <c r="G16" s="158">
        <v>0</v>
      </c>
      <c r="H16" s="158"/>
      <c r="I16" s="158">
        <v>369000</v>
      </c>
      <c r="J16" s="158"/>
      <c r="K16" s="158">
        <v>2570000</v>
      </c>
      <c r="L16" s="158"/>
      <c r="M16" s="187">
        <v>1032071</v>
      </c>
      <c r="O16" s="187">
        <v>3435000</v>
      </c>
      <c r="P16" s="187"/>
      <c r="Q16" s="187">
        <f>1522950+1522950</f>
        <v>3045900</v>
      </c>
      <c r="R16" s="187"/>
      <c r="S16" s="187">
        <v>1475000</v>
      </c>
      <c r="T16" s="187"/>
      <c r="U16" s="187">
        <f>697300+697300</f>
        <v>1394600</v>
      </c>
      <c r="V16" s="187"/>
      <c r="W16" s="187"/>
      <c r="X16" s="187"/>
      <c r="Y16" s="187">
        <f t="shared" si="2"/>
        <v>7480000</v>
      </c>
      <c r="Z16" s="187"/>
      <c r="AA16" s="187">
        <f t="shared" si="3"/>
        <v>5841571</v>
      </c>
      <c r="AB16" s="186">
        <v>9</v>
      </c>
      <c r="AC16" s="187"/>
      <c r="AD16" s="187"/>
      <c r="AE16" s="187"/>
      <c r="AF16" s="187"/>
      <c r="AG16" s="188"/>
      <c r="AH16" s="188"/>
      <c r="AI16" s="188"/>
      <c r="AJ16" s="188"/>
    </row>
    <row r="17" spans="1:37">
      <c r="A17" s="195">
        <f t="shared" si="4"/>
        <v>2032</v>
      </c>
      <c r="B17" s="186">
        <v>10</v>
      </c>
      <c r="C17" s="158">
        <v>0</v>
      </c>
      <c r="E17" s="158">
        <v>0</v>
      </c>
      <c r="F17" s="158"/>
      <c r="G17" s="158">
        <v>0</v>
      </c>
      <c r="H17" s="158"/>
      <c r="I17" s="158">
        <v>369000</v>
      </c>
      <c r="J17" s="158"/>
      <c r="K17" s="158">
        <v>2625000</v>
      </c>
      <c r="L17" s="158"/>
      <c r="M17" s="187">
        <v>981134</v>
      </c>
      <c r="O17" s="187">
        <v>3895000</v>
      </c>
      <c r="P17" s="187"/>
      <c r="Q17" s="187">
        <f>1437075+1437075</f>
        <v>2874150</v>
      </c>
      <c r="R17" s="187"/>
      <c r="S17" s="187">
        <v>1750000</v>
      </c>
      <c r="T17" s="187"/>
      <c r="U17" s="187">
        <f>660425+660425</f>
        <v>1320850</v>
      </c>
      <c r="V17" s="187"/>
      <c r="W17" s="187"/>
      <c r="X17" s="187"/>
      <c r="Y17" s="187">
        <f t="shared" si="2"/>
        <v>8270000</v>
      </c>
      <c r="Z17" s="187"/>
      <c r="AA17" s="187">
        <f t="shared" si="3"/>
        <v>5545134</v>
      </c>
      <c r="AB17" s="186">
        <v>10</v>
      </c>
      <c r="AC17" s="187"/>
      <c r="AD17" s="187"/>
      <c r="AE17" s="187"/>
      <c r="AF17" s="187"/>
      <c r="AG17" s="188"/>
      <c r="AH17" s="188"/>
      <c r="AI17" s="188"/>
      <c r="AJ17" s="188"/>
    </row>
    <row r="18" spans="1:37">
      <c r="A18" s="195">
        <f t="shared" si="4"/>
        <v>2033</v>
      </c>
      <c r="B18" s="186">
        <v>11</v>
      </c>
      <c r="C18" s="158">
        <v>0</v>
      </c>
      <c r="E18" s="158">
        <v>0</v>
      </c>
      <c r="F18" s="158"/>
      <c r="G18" s="158">
        <v>0</v>
      </c>
      <c r="H18" s="158"/>
      <c r="I18" s="158">
        <v>369000</v>
      </c>
      <c r="J18" s="158"/>
      <c r="K18" s="158">
        <v>2670000</v>
      </c>
      <c r="L18" s="158"/>
      <c r="M18" s="187">
        <v>926482</v>
      </c>
      <c r="O18" s="187">
        <v>4395000</v>
      </c>
      <c r="P18" s="187"/>
      <c r="Q18" s="187">
        <f>1339700+1339700</f>
        <v>2679400</v>
      </c>
      <c r="R18" s="187"/>
      <c r="S18" s="187">
        <v>1990000</v>
      </c>
      <c r="T18" s="187"/>
      <c r="U18" s="187">
        <f>616675+616675</f>
        <v>1233350</v>
      </c>
      <c r="V18" s="187"/>
      <c r="W18" s="187"/>
      <c r="X18" s="187"/>
      <c r="Y18" s="187">
        <f t="shared" si="2"/>
        <v>9055000</v>
      </c>
      <c r="Z18" s="187"/>
      <c r="AA18" s="187">
        <f t="shared" si="3"/>
        <v>5208232</v>
      </c>
      <c r="AB18" s="186">
        <v>11</v>
      </c>
      <c r="AC18" s="187"/>
      <c r="AD18" s="187"/>
      <c r="AE18" s="188"/>
      <c r="AF18" s="188"/>
      <c r="AG18" s="188"/>
      <c r="AH18" s="188"/>
      <c r="AI18" s="188"/>
      <c r="AJ18" s="188"/>
    </row>
    <row r="19" spans="1:37">
      <c r="A19" s="195">
        <f t="shared" si="4"/>
        <v>2034</v>
      </c>
      <c r="B19" s="186">
        <v>12</v>
      </c>
      <c r="C19" s="158">
        <v>0</v>
      </c>
      <c r="E19" s="158">
        <v>0</v>
      </c>
      <c r="F19" s="158"/>
      <c r="G19" s="158">
        <v>0</v>
      </c>
      <c r="H19" s="158"/>
      <c r="I19" s="158">
        <v>369000</v>
      </c>
      <c r="J19" s="158"/>
      <c r="K19" s="158">
        <v>2730000</v>
      </c>
      <c r="L19" s="158"/>
      <c r="M19" s="187">
        <v>869557</v>
      </c>
      <c r="O19" s="187">
        <v>4925000</v>
      </c>
      <c r="P19" s="187"/>
      <c r="Q19" s="187">
        <f>1229825+1229825</f>
        <v>2459650</v>
      </c>
      <c r="R19" s="187"/>
      <c r="S19" s="187">
        <v>2225000</v>
      </c>
      <c r="T19" s="187"/>
      <c r="U19" s="187">
        <f>566925+566925</f>
        <v>1133850</v>
      </c>
      <c r="V19" s="187"/>
      <c r="W19" s="187"/>
      <c r="X19" s="187"/>
      <c r="Y19" s="187">
        <f t="shared" si="2"/>
        <v>9880000</v>
      </c>
      <c r="Z19" s="187"/>
      <c r="AA19" s="187">
        <f t="shared" si="3"/>
        <v>4832057</v>
      </c>
      <c r="AB19" s="186">
        <v>12</v>
      </c>
      <c r="AC19" s="187"/>
      <c r="AD19" s="187"/>
      <c r="AE19" s="188"/>
      <c r="AF19" s="188"/>
      <c r="AG19" s="188"/>
      <c r="AH19" s="188"/>
      <c r="AI19" s="188"/>
      <c r="AJ19" s="188"/>
    </row>
    <row r="20" spans="1:37">
      <c r="A20" s="195">
        <f t="shared" si="4"/>
        <v>2035</v>
      </c>
      <c r="B20" s="186">
        <v>13</v>
      </c>
      <c r="C20" s="158">
        <v>0</v>
      </c>
      <c r="E20" s="158">
        <v>0</v>
      </c>
      <c r="F20" s="158"/>
      <c r="G20" s="158">
        <v>0</v>
      </c>
      <c r="H20" s="158"/>
      <c r="I20" s="158">
        <v>369000</v>
      </c>
      <c r="J20" s="158"/>
      <c r="K20" s="158">
        <v>2795000</v>
      </c>
      <c r="L20" s="158"/>
      <c r="M20" s="187">
        <v>808624</v>
      </c>
      <c r="O20" s="187">
        <v>5540000</v>
      </c>
      <c r="P20" s="187"/>
      <c r="Q20" s="187">
        <f>1106700+1106700</f>
        <v>2213400</v>
      </c>
      <c r="R20" s="187"/>
      <c r="S20" s="187">
        <v>2560000</v>
      </c>
      <c r="T20" s="187"/>
      <c r="U20" s="187">
        <f>511300+511300</f>
        <v>1022600</v>
      </c>
      <c r="V20" s="187"/>
      <c r="W20" s="187"/>
      <c r="X20" s="187"/>
      <c r="Y20" s="187">
        <f t="shared" si="2"/>
        <v>10895000</v>
      </c>
      <c r="Z20" s="187"/>
      <c r="AA20" s="187">
        <f t="shared" si="3"/>
        <v>4413624</v>
      </c>
      <c r="AB20" s="186">
        <v>13</v>
      </c>
      <c r="AC20" s="187"/>
      <c r="AD20" s="187"/>
      <c r="AE20" s="188"/>
      <c r="AF20" s="188"/>
      <c r="AG20" s="188"/>
      <c r="AH20" s="188"/>
      <c r="AI20" s="188"/>
      <c r="AJ20" s="188"/>
      <c r="AK20" s="187"/>
    </row>
    <row r="21" spans="1:37">
      <c r="A21" s="195">
        <f t="shared" si="4"/>
        <v>2036</v>
      </c>
      <c r="B21" s="186">
        <v>14</v>
      </c>
      <c r="C21" s="158">
        <v>0</v>
      </c>
      <c r="E21" s="158">
        <v>0</v>
      </c>
      <c r="F21" s="158"/>
      <c r="G21" s="158">
        <v>0</v>
      </c>
      <c r="H21" s="158"/>
      <c r="I21" s="158">
        <v>369000</v>
      </c>
      <c r="J21" s="158"/>
      <c r="K21" s="158">
        <v>2855000</v>
      </c>
      <c r="L21" s="158"/>
      <c r="M21" s="187">
        <v>743724</v>
      </c>
      <c r="O21" s="187">
        <v>6160000</v>
      </c>
      <c r="P21" s="187"/>
      <c r="Q21" s="187">
        <f>968200+968200</f>
        <v>1936400</v>
      </c>
      <c r="R21" s="187"/>
      <c r="S21" s="187">
        <v>2820000</v>
      </c>
      <c r="T21" s="187"/>
      <c r="U21" s="187">
        <f>447300+447300</f>
        <v>894600</v>
      </c>
      <c r="V21" s="187"/>
      <c r="W21" s="187"/>
      <c r="X21" s="187"/>
      <c r="Y21" s="187">
        <f t="shared" si="2"/>
        <v>11835000</v>
      </c>
      <c r="Z21" s="187"/>
      <c r="AA21" s="187">
        <f t="shared" si="3"/>
        <v>3943724</v>
      </c>
      <c r="AB21" s="186">
        <v>14</v>
      </c>
      <c r="AC21" s="187"/>
      <c r="AD21" s="187"/>
      <c r="AE21" s="188"/>
      <c r="AF21" s="188"/>
      <c r="AG21" s="188"/>
      <c r="AH21" s="188"/>
      <c r="AI21" s="188"/>
      <c r="AJ21" s="188"/>
    </row>
    <row r="22" spans="1:37">
      <c r="A22" s="195">
        <f t="shared" si="4"/>
        <v>2037</v>
      </c>
      <c r="B22" s="186">
        <v>15</v>
      </c>
      <c r="C22" s="158">
        <v>0</v>
      </c>
      <c r="E22" s="158">
        <v>0</v>
      </c>
      <c r="F22" s="158"/>
      <c r="G22" s="158">
        <v>0</v>
      </c>
      <c r="H22" s="158"/>
      <c r="I22" s="158">
        <v>369000</v>
      </c>
      <c r="J22" s="158"/>
      <c r="K22" s="158">
        <v>2940000</v>
      </c>
      <c r="L22" s="158"/>
      <c r="M22" s="187">
        <v>660586</v>
      </c>
      <c r="O22" s="187">
        <v>6745000</v>
      </c>
      <c r="P22" s="187"/>
      <c r="Q22" s="187">
        <f>814200+814200</f>
        <v>1628400</v>
      </c>
      <c r="R22" s="187"/>
      <c r="S22" s="187">
        <v>3120000</v>
      </c>
      <c r="T22" s="187"/>
      <c r="U22" s="187">
        <f>376800+376800</f>
        <v>753600</v>
      </c>
      <c r="V22" s="187"/>
      <c r="W22" s="187"/>
      <c r="X22" s="187"/>
      <c r="Y22" s="187">
        <f t="shared" si="2"/>
        <v>12805000</v>
      </c>
      <c r="Z22" s="187"/>
      <c r="AA22" s="187">
        <f t="shared" si="3"/>
        <v>3411586</v>
      </c>
      <c r="AB22" s="186">
        <v>15</v>
      </c>
      <c r="AC22" s="187"/>
      <c r="AD22" s="187"/>
      <c r="AE22" s="188"/>
      <c r="AF22" s="188"/>
      <c r="AG22" s="188"/>
      <c r="AH22" s="188"/>
      <c r="AI22" s="188"/>
      <c r="AJ22" s="188"/>
    </row>
    <row r="23" spans="1:37">
      <c r="A23" s="195">
        <f t="shared" si="4"/>
        <v>2038</v>
      </c>
      <c r="B23" s="186">
        <v>16</v>
      </c>
      <c r="C23" s="158">
        <v>0</v>
      </c>
      <c r="E23" s="158">
        <v>0</v>
      </c>
      <c r="F23" s="158"/>
      <c r="G23" s="158">
        <v>0</v>
      </c>
      <c r="H23" s="158"/>
      <c r="I23" s="158">
        <v>369000</v>
      </c>
      <c r="J23" s="158"/>
      <c r="K23" s="158">
        <v>3025000</v>
      </c>
      <c r="L23" s="158"/>
      <c r="M23" s="187">
        <v>574973</v>
      </c>
      <c r="O23" s="187">
        <v>7455000</v>
      </c>
      <c r="P23" s="187"/>
      <c r="Q23" s="187">
        <f>679300+679300</f>
        <v>1358600</v>
      </c>
      <c r="R23" s="187"/>
      <c r="S23" s="187">
        <v>3475000</v>
      </c>
      <c r="T23" s="187"/>
      <c r="U23" s="187">
        <f>314400+314400</f>
        <v>628800</v>
      </c>
      <c r="V23" s="187"/>
      <c r="W23" s="187"/>
      <c r="X23" s="187"/>
      <c r="Y23" s="187">
        <f t="shared" si="2"/>
        <v>13955000</v>
      </c>
      <c r="Z23" s="187"/>
      <c r="AA23" s="187">
        <f t="shared" si="3"/>
        <v>2931373</v>
      </c>
      <c r="AB23" s="186">
        <v>16</v>
      </c>
      <c r="AC23" s="187"/>
      <c r="AD23" s="187"/>
      <c r="AE23" s="188"/>
      <c r="AF23" s="188"/>
      <c r="AG23" s="188"/>
      <c r="AH23" s="188"/>
      <c r="AI23" s="188"/>
      <c r="AJ23" s="188"/>
    </row>
    <row r="24" spans="1:37">
      <c r="A24" s="195">
        <f t="shared" si="4"/>
        <v>2039</v>
      </c>
      <c r="B24" s="186">
        <v>17</v>
      </c>
      <c r="C24" s="158">
        <v>0</v>
      </c>
      <c r="E24" s="158">
        <v>0</v>
      </c>
      <c r="F24" s="158"/>
      <c r="G24" s="158">
        <v>0</v>
      </c>
      <c r="H24" s="158"/>
      <c r="I24" s="158">
        <v>369000</v>
      </c>
      <c r="J24" s="158"/>
      <c r="K24" s="158">
        <v>3115000</v>
      </c>
      <c r="L24" s="158"/>
      <c r="M24" s="187">
        <v>486885</v>
      </c>
      <c r="O24" s="187">
        <v>8090000</v>
      </c>
      <c r="P24" s="187"/>
      <c r="Q24" s="187">
        <f>530200+530200</f>
        <v>1060400</v>
      </c>
      <c r="R24" s="187"/>
      <c r="S24" s="187">
        <v>3755000</v>
      </c>
      <c r="T24" s="187"/>
      <c r="U24" s="187">
        <f>244900+244900</f>
        <v>489800</v>
      </c>
      <c r="V24" s="187"/>
      <c r="W24" s="187"/>
      <c r="X24" s="187"/>
      <c r="Y24" s="187">
        <f t="shared" si="2"/>
        <v>14960000</v>
      </c>
      <c r="Z24" s="187"/>
      <c r="AA24" s="187">
        <f t="shared" si="3"/>
        <v>2406085</v>
      </c>
      <c r="AB24" s="186">
        <v>17</v>
      </c>
      <c r="AC24" s="187"/>
      <c r="AD24" s="187"/>
      <c r="AE24" s="188"/>
      <c r="AF24" s="188"/>
      <c r="AG24" s="188"/>
      <c r="AH24" s="188"/>
      <c r="AI24" s="188"/>
      <c r="AJ24" s="188"/>
    </row>
    <row r="25" spans="1:37">
      <c r="A25" s="195">
        <f t="shared" si="4"/>
        <v>2040</v>
      </c>
      <c r="B25" s="186">
        <v>18</v>
      </c>
      <c r="C25" s="158">
        <v>0</v>
      </c>
      <c r="E25" s="158">
        <v>0</v>
      </c>
      <c r="F25" s="158"/>
      <c r="G25" s="158">
        <v>0</v>
      </c>
      <c r="H25" s="158"/>
      <c r="I25" s="158">
        <v>369000</v>
      </c>
      <c r="J25" s="158"/>
      <c r="K25" s="158">
        <v>3205000</v>
      </c>
      <c r="L25" s="158"/>
      <c r="M25" s="187">
        <v>396176</v>
      </c>
      <c r="O25" s="187">
        <v>8785000</v>
      </c>
      <c r="P25" s="187"/>
      <c r="Q25" s="187">
        <f>368400+368400</f>
        <v>736800</v>
      </c>
      <c r="R25" s="187"/>
      <c r="S25" s="187">
        <v>4040000</v>
      </c>
      <c r="T25" s="187"/>
      <c r="U25" s="187">
        <f>169800+169800</f>
        <v>339600</v>
      </c>
      <c r="V25" s="187"/>
      <c r="W25" s="187"/>
      <c r="X25" s="187"/>
      <c r="Y25" s="187">
        <f t="shared" si="2"/>
        <v>16030000</v>
      </c>
      <c r="Z25" s="187"/>
      <c r="AA25" s="187">
        <f t="shared" si="3"/>
        <v>1841576</v>
      </c>
      <c r="AB25" s="186">
        <v>18</v>
      </c>
      <c r="AC25" s="187"/>
      <c r="AD25" s="187"/>
      <c r="AE25" s="188"/>
      <c r="AF25" s="188"/>
      <c r="AG25" s="188"/>
      <c r="AH25" s="188"/>
      <c r="AI25" s="188"/>
      <c r="AJ25" s="188"/>
    </row>
    <row r="26" spans="1:37">
      <c r="A26" s="195">
        <f t="shared" si="4"/>
        <v>2041</v>
      </c>
      <c r="B26" s="186">
        <v>19</v>
      </c>
      <c r="C26" s="158">
        <v>0</v>
      </c>
      <c r="E26" s="158">
        <v>0</v>
      </c>
      <c r="F26" s="158"/>
      <c r="G26" s="158">
        <v>0</v>
      </c>
      <c r="H26" s="158"/>
      <c r="I26" s="158">
        <v>369000</v>
      </c>
      <c r="J26" s="158"/>
      <c r="K26" s="158">
        <v>3300000</v>
      </c>
      <c r="L26" s="158"/>
      <c r="M26" s="187">
        <v>302847</v>
      </c>
      <c r="O26" s="187">
        <v>9635000</v>
      </c>
      <c r="P26" s="187"/>
      <c r="Q26" s="187">
        <f>192700+192700</f>
        <v>385400</v>
      </c>
      <c r="R26" s="187"/>
      <c r="S26" s="187">
        <v>4450000</v>
      </c>
      <c r="T26" s="187"/>
      <c r="U26" s="187">
        <f>89000+89000</f>
        <v>178000</v>
      </c>
      <c r="V26" s="187"/>
      <c r="W26" s="187"/>
      <c r="X26" s="187"/>
      <c r="Y26" s="187">
        <f t="shared" si="2"/>
        <v>17385000</v>
      </c>
      <c r="Z26" s="187"/>
      <c r="AA26" s="187">
        <f t="shared" si="3"/>
        <v>1235247</v>
      </c>
      <c r="AB26" s="186">
        <v>19</v>
      </c>
      <c r="AC26" s="187"/>
      <c r="AD26" s="187"/>
      <c r="AE26" s="188"/>
      <c r="AF26" s="188"/>
      <c r="AG26" s="188"/>
      <c r="AH26" s="188"/>
      <c r="AI26" s="188"/>
      <c r="AJ26" s="188"/>
    </row>
    <row r="27" spans="1:37">
      <c r="A27" s="195">
        <f t="shared" si="4"/>
        <v>2042</v>
      </c>
      <c r="B27" s="186">
        <v>20</v>
      </c>
      <c r="C27" s="158">
        <v>0</v>
      </c>
      <c r="E27" s="158">
        <v>0</v>
      </c>
      <c r="F27" s="158"/>
      <c r="G27" s="158">
        <v>0</v>
      </c>
      <c r="H27" s="158"/>
      <c r="I27" s="158">
        <v>369000</v>
      </c>
      <c r="J27" s="158"/>
      <c r="K27" s="158">
        <v>3395000</v>
      </c>
      <c r="L27" s="158"/>
      <c r="M27" s="187">
        <v>204771</v>
      </c>
      <c r="O27" s="187">
        <v>5064257</v>
      </c>
      <c r="P27" s="187"/>
      <c r="Q27" s="187">
        <v>5360744</v>
      </c>
      <c r="R27" s="187"/>
      <c r="S27" s="187">
        <v>2124712</v>
      </c>
      <c r="T27" s="187"/>
      <c r="U27" s="187">
        <v>2670288</v>
      </c>
      <c r="V27" s="187"/>
      <c r="W27" s="187"/>
      <c r="X27" s="187"/>
      <c r="Y27" s="187">
        <f t="shared" si="2"/>
        <v>10583969</v>
      </c>
      <c r="Z27" s="187"/>
      <c r="AA27" s="187">
        <f t="shared" si="3"/>
        <v>8604803</v>
      </c>
      <c r="AB27" s="186">
        <v>20</v>
      </c>
      <c r="AC27" s="187"/>
      <c r="AD27" s="187"/>
      <c r="AE27" s="188"/>
      <c r="AF27" s="188"/>
      <c r="AG27" s="188"/>
      <c r="AH27" s="188"/>
      <c r="AI27" s="188"/>
      <c r="AJ27" s="188"/>
    </row>
    <row r="28" spans="1:37">
      <c r="A28" s="195">
        <f t="shared" si="4"/>
        <v>2043</v>
      </c>
      <c r="B28" s="186">
        <v>21</v>
      </c>
      <c r="C28" s="158">
        <v>0</v>
      </c>
      <c r="E28" s="158">
        <v>0</v>
      </c>
      <c r="F28" s="158"/>
      <c r="G28" s="158">
        <v>0</v>
      </c>
      <c r="H28" s="158"/>
      <c r="I28" s="158">
        <v>369000</v>
      </c>
      <c r="J28" s="158"/>
      <c r="K28" s="158">
        <v>3495000</v>
      </c>
      <c r="L28" s="158"/>
      <c r="M28" s="187">
        <v>103871</v>
      </c>
      <c r="O28" s="187">
        <v>5018989</v>
      </c>
      <c r="P28" s="187"/>
      <c r="Q28" s="187">
        <v>5816011</v>
      </c>
      <c r="R28" s="187"/>
      <c r="S28" s="187">
        <v>2088676</v>
      </c>
      <c r="T28" s="187"/>
      <c r="U28" s="187">
        <v>2876324</v>
      </c>
      <c r="V28" s="187"/>
      <c r="W28" s="187"/>
      <c r="X28" s="187"/>
      <c r="Y28" s="187">
        <f t="shared" si="2"/>
        <v>10602665</v>
      </c>
      <c r="Z28" s="187"/>
      <c r="AA28" s="187">
        <f t="shared" si="3"/>
        <v>9165206</v>
      </c>
      <c r="AB28" s="186">
        <v>21</v>
      </c>
      <c r="AC28" s="187"/>
      <c r="AD28" s="187"/>
      <c r="AE28" s="188"/>
      <c r="AF28" s="188"/>
      <c r="AG28" s="188"/>
      <c r="AH28" s="188"/>
      <c r="AI28" s="188"/>
      <c r="AJ28" s="188"/>
    </row>
    <row r="29" spans="1:37">
      <c r="A29" s="195">
        <f t="shared" si="4"/>
        <v>2044</v>
      </c>
      <c r="B29" s="186">
        <v>22</v>
      </c>
      <c r="C29" s="158">
        <v>0</v>
      </c>
      <c r="E29" s="158">
        <v>0</v>
      </c>
      <c r="F29" s="158"/>
      <c r="G29" s="158">
        <v>1270000</v>
      </c>
      <c r="H29" s="158"/>
      <c r="I29" s="158">
        <v>369000</v>
      </c>
      <c r="J29" s="158"/>
      <c r="K29" s="158">
        <v>0</v>
      </c>
      <c r="L29" s="158"/>
      <c r="M29" s="158">
        <v>0</v>
      </c>
      <c r="O29" s="187">
        <v>5454988</v>
      </c>
      <c r="P29" s="187"/>
      <c r="Q29" s="187">
        <v>6965012</v>
      </c>
      <c r="R29" s="204"/>
      <c r="S29" s="204">
        <v>2239870</v>
      </c>
      <c r="T29" s="204"/>
      <c r="U29" s="204">
        <v>3400130</v>
      </c>
      <c r="V29" s="204"/>
      <c r="W29" s="204"/>
      <c r="X29" s="204"/>
      <c r="Y29" s="187">
        <f t="shared" si="2"/>
        <v>8964858</v>
      </c>
      <c r="Z29" s="187"/>
      <c r="AA29" s="187">
        <f t="shared" si="3"/>
        <v>10734142</v>
      </c>
      <c r="AB29" s="186">
        <v>22</v>
      </c>
      <c r="AC29" s="187"/>
      <c r="AD29" s="187"/>
      <c r="AE29" s="188"/>
      <c r="AF29" s="188"/>
      <c r="AG29" s="188"/>
      <c r="AH29" s="188"/>
      <c r="AI29" s="188"/>
      <c r="AJ29" s="188"/>
    </row>
    <row r="30" spans="1:37">
      <c r="A30" s="195">
        <f t="shared" si="4"/>
        <v>2045</v>
      </c>
      <c r="B30" s="186">
        <v>23</v>
      </c>
      <c r="C30" s="158">
        <v>0</v>
      </c>
      <c r="E30" s="158">
        <v>0</v>
      </c>
      <c r="F30" s="158"/>
      <c r="G30" s="158">
        <v>1310000</v>
      </c>
      <c r="H30" s="158"/>
      <c r="I30" s="158">
        <v>330900</v>
      </c>
      <c r="J30" s="158"/>
      <c r="K30" s="158">
        <v>0</v>
      </c>
      <c r="L30" s="158"/>
      <c r="M30" s="158">
        <v>0</v>
      </c>
      <c r="O30" s="187">
        <v>5372265</v>
      </c>
      <c r="P30" s="187"/>
      <c r="Q30" s="187">
        <v>7487735</v>
      </c>
      <c r="R30" s="204"/>
      <c r="S30" s="204">
        <v>2183144</v>
      </c>
      <c r="T30" s="204"/>
      <c r="U30" s="204">
        <v>3621856</v>
      </c>
      <c r="V30" s="204"/>
      <c r="W30" s="204"/>
      <c r="X30" s="204"/>
      <c r="Y30" s="187">
        <f t="shared" si="2"/>
        <v>8865409</v>
      </c>
      <c r="Z30" s="187"/>
      <c r="AA30" s="187">
        <f t="shared" si="3"/>
        <v>11440491</v>
      </c>
      <c r="AB30" s="186">
        <v>23</v>
      </c>
      <c r="AC30" s="158"/>
      <c r="AD30" s="158"/>
      <c r="AE30" s="188"/>
      <c r="AF30" s="188"/>
      <c r="AG30" s="188"/>
      <c r="AH30" s="188"/>
      <c r="AI30" s="188"/>
      <c r="AJ30" s="188"/>
    </row>
    <row r="31" spans="1:37">
      <c r="A31" s="195">
        <f t="shared" si="4"/>
        <v>2046</v>
      </c>
      <c r="B31" s="186">
        <v>24</v>
      </c>
      <c r="C31" s="158">
        <v>0</v>
      </c>
      <c r="E31" s="158">
        <v>0</v>
      </c>
      <c r="F31" s="158"/>
      <c r="G31" s="158">
        <v>1345000</v>
      </c>
      <c r="H31" s="158"/>
      <c r="I31" s="158">
        <v>291600</v>
      </c>
      <c r="J31" s="158"/>
      <c r="K31" s="158">
        <v>0</v>
      </c>
      <c r="L31" s="158"/>
      <c r="M31" s="158">
        <v>0</v>
      </c>
      <c r="O31" s="187">
        <v>5286227</v>
      </c>
      <c r="P31" s="187"/>
      <c r="Q31" s="187">
        <v>7968773</v>
      </c>
      <c r="R31" s="204"/>
      <c r="S31" s="204">
        <v>2125100</v>
      </c>
      <c r="T31" s="204"/>
      <c r="U31" s="204">
        <v>3819900</v>
      </c>
      <c r="V31" s="204"/>
      <c r="W31" s="204"/>
      <c r="X31" s="204"/>
      <c r="Y31" s="187">
        <f t="shared" si="2"/>
        <v>8756327</v>
      </c>
      <c r="Z31" s="187"/>
      <c r="AA31" s="187">
        <f t="shared" si="3"/>
        <v>12080273</v>
      </c>
      <c r="AB31" s="186">
        <v>24</v>
      </c>
      <c r="AC31" s="158"/>
      <c r="AD31" s="158"/>
      <c r="AE31" s="188"/>
      <c r="AF31" s="188"/>
      <c r="AG31" s="188"/>
      <c r="AH31" s="188"/>
      <c r="AI31" s="188"/>
      <c r="AJ31" s="188"/>
    </row>
    <row r="32" spans="1:37">
      <c r="A32" s="195">
        <f t="shared" si="4"/>
        <v>2047</v>
      </c>
      <c r="B32" s="186">
        <v>25</v>
      </c>
      <c r="C32" s="158">
        <v>0</v>
      </c>
      <c r="E32" s="158">
        <v>0</v>
      </c>
      <c r="F32" s="158"/>
      <c r="G32" s="158">
        <v>1400000</v>
      </c>
      <c r="H32" s="158"/>
      <c r="I32" s="158">
        <v>237800</v>
      </c>
      <c r="J32" s="158"/>
      <c r="K32" s="158">
        <v>0</v>
      </c>
      <c r="L32" s="158"/>
      <c r="M32" s="158">
        <v>0</v>
      </c>
      <c r="O32" s="187">
        <v>5276568</v>
      </c>
      <c r="P32" s="187"/>
      <c r="Q32" s="187">
        <v>8523432</v>
      </c>
      <c r="R32" s="204"/>
      <c r="S32" s="204">
        <v>2117208</v>
      </c>
      <c r="T32" s="204"/>
      <c r="U32" s="204">
        <v>4087792</v>
      </c>
      <c r="V32" s="204"/>
      <c r="W32" s="204"/>
      <c r="X32" s="204"/>
      <c r="Y32" s="187">
        <f t="shared" si="2"/>
        <v>8793776</v>
      </c>
      <c r="Z32" s="187"/>
      <c r="AA32" s="187">
        <f t="shared" si="3"/>
        <v>12849024</v>
      </c>
      <c r="AB32" s="186">
        <v>25</v>
      </c>
      <c r="AC32" s="158"/>
      <c r="AD32" s="158"/>
      <c r="AE32" s="188"/>
      <c r="AF32" s="188"/>
      <c r="AG32" s="188"/>
      <c r="AH32" s="188"/>
      <c r="AI32" s="188"/>
      <c r="AJ32" s="188"/>
    </row>
    <row r="33" spans="1:36">
      <c r="A33" s="195">
        <f t="shared" si="4"/>
        <v>2048</v>
      </c>
      <c r="B33" s="186">
        <v>26</v>
      </c>
      <c r="C33" s="158">
        <v>0</v>
      </c>
      <c r="E33" s="158">
        <v>0</v>
      </c>
      <c r="F33" s="158"/>
      <c r="G33" s="158">
        <v>1455000</v>
      </c>
      <c r="H33" s="158"/>
      <c r="I33" s="158">
        <v>181800</v>
      </c>
      <c r="J33" s="158"/>
      <c r="K33" s="158">
        <v>0</v>
      </c>
      <c r="L33" s="158"/>
      <c r="M33" s="158">
        <v>0</v>
      </c>
      <c r="O33" s="187">
        <v>5212609</v>
      </c>
      <c r="P33" s="187"/>
      <c r="Q33" s="187">
        <v>9012391</v>
      </c>
      <c r="R33" s="204"/>
      <c r="S33" s="204">
        <v>2070625</v>
      </c>
      <c r="T33" s="204"/>
      <c r="U33" s="204">
        <v>4289375</v>
      </c>
      <c r="V33" s="204"/>
      <c r="W33" s="204"/>
      <c r="X33" s="204"/>
      <c r="Y33" s="187">
        <f t="shared" si="2"/>
        <v>8738234</v>
      </c>
      <c r="Z33" s="187"/>
      <c r="AA33" s="187">
        <f t="shared" si="3"/>
        <v>13483566</v>
      </c>
      <c r="AB33" s="186">
        <v>26</v>
      </c>
      <c r="AC33" s="158"/>
      <c r="AD33" s="158"/>
      <c r="AE33" s="188"/>
      <c r="AF33" s="188"/>
      <c r="AG33" s="188"/>
      <c r="AH33" s="188"/>
      <c r="AI33" s="188"/>
      <c r="AJ33" s="188"/>
    </row>
    <row r="34" spans="1:36">
      <c r="A34" s="195">
        <f t="shared" si="4"/>
        <v>2049</v>
      </c>
      <c r="B34" s="186">
        <v>27</v>
      </c>
      <c r="C34" s="158">
        <v>0</v>
      </c>
      <c r="E34" s="158">
        <v>0</v>
      </c>
      <c r="F34" s="158"/>
      <c r="G34" s="158">
        <v>1515000</v>
      </c>
      <c r="H34" s="158"/>
      <c r="I34" s="158">
        <v>123600</v>
      </c>
      <c r="J34" s="158"/>
      <c r="K34" s="158">
        <v>0</v>
      </c>
      <c r="L34" s="158"/>
      <c r="M34" s="158">
        <v>0</v>
      </c>
      <c r="O34" s="187">
        <v>5155169</v>
      </c>
      <c r="P34" s="187"/>
      <c r="Q34" s="187">
        <v>9529831</v>
      </c>
      <c r="R34" s="204"/>
      <c r="S34" s="204">
        <v>2027761</v>
      </c>
      <c r="T34" s="204"/>
      <c r="U34" s="204">
        <v>4502239</v>
      </c>
      <c r="V34" s="204"/>
      <c r="W34" s="204"/>
      <c r="X34" s="204"/>
      <c r="Y34" s="187">
        <f t="shared" si="2"/>
        <v>8697930</v>
      </c>
      <c r="Z34" s="187"/>
      <c r="AA34" s="187">
        <f t="shared" si="3"/>
        <v>14155670</v>
      </c>
      <c r="AB34" s="186">
        <v>27</v>
      </c>
      <c r="AC34" s="158"/>
      <c r="AD34" s="158"/>
      <c r="AE34" s="188"/>
      <c r="AF34" s="188"/>
      <c r="AG34" s="188"/>
      <c r="AH34" s="188"/>
      <c r="AI34" s="188"/>
      <c r="AJ34" s="188"/>
    </row>
    <row r="35" spans="1:36">
      <c r="A35" s="195">
        <f t="shared" si="4"/>
        <v>2050</v>
      </c>
      <c r="B35" s="186">
        <v>28</v>
      </c>
      <c r="C35" s="158">
        <v>0</v>
      </c>
      <c r="E35" s="158">
        <v>0</v>
      </c>
      <c r="F35" s="158"/>
      <c r="G35" s="158">
        <v>1575000</v>
      </c>
      <c r="H35" s="158"/>
      <c r="I35" s="158">
        <v>63000</v>
      </c>
      <c r="J35" s="158"/>
      <c r="K35" s="158">
        <v>0</v>
      </c>
      <c r="L35" s="158"/>
      <c r="M35" s="158">
        <v>0</v>
      </c>
      <c r="O35" s="187">
        <v>5138511</v>
      </c>
      <c r="P35" s="187"/>
      <c r="Q35" s="187">
        <v>10146489</v>
      </c>
      <c r="R35" s="204"/>
      <c r="S35" s="204">
        <v>2016169</v>
      </c>
      <c r="T35" s="204"/>
      <c r="U35" s="204">
        <v>4793831</v>
      </c>
      <c r="V35" s="204"/>
      <c r="W35" s="204"/>
      <c r="X35" s="204"/>
      <c r="Y35" s="187">
        <f t="shared" si="2"/>
        <v>8729680</v>
      </c>
      <c r="Z35" s="187"/>
      <c r="AA35" s="187">
        <f t="shared" si="3"/>
        <v>15003320</v>
      </c>
      <c r="AB35" s="186">
        <v>28</v>
      </c>
      <c r="AC35" s="158"/>
      <c r="AD35" s="158"/>
      <c r="AE35" s="188"/>
      <c r="AF35" s="188"/>
      <c r="AG35" s="188"/>
      <c r="AH35" s="188"/>
      <c r="AI35" s="188"/>
      <c r="AJ35" s="188"/>
    </row>
    <row r="36" spans="1:36">
      <c r="A36" s="195">
        <f t="shared" si="4"/>
        <v>2051</v>
      </c>
      <c r="B36" s="186">
        <v>29</v>
      </c>
      <c r="C36" s="158">
        <v>0</v>
      </c>
      <c r="E36" s="158">
        <v>0</v>
      </c>
      <c r="F36" s="158"/>
      <c r="G36" s="158">
        <v>0</v>
      </c>
      <c r="I36" s="158">
        <v>0</v>
      </c>
      <c r="J36" s="158"/>
      <c r="K36" s="158">
        <v>0</v>
      </c>
      <c r="M36" s="158">
        <v>0</v>
      </c>
      <c r="O36" s="204">
        <v>5290557</v>
      </c>
      <c r="P36" s="187"/>
      <c r="Q36" s="204">
        <v>11149444</v>
      </c>
      <c r="R36" s="204"/>
      <c r="S36" s="204">
        <v>2041428</v>
      </c>
      <c r="T36" s="204"/>
      <c r="U36" s="204">
        <v>5193572</v>
      </c>
      <c r="V36" s="204"/>
      <c r="W36" s="204"/>
      <c r="X36" s="204"/>
      <c r="Y36" s="187">
        <f t="shared" si="2"/>
        <v>7331985</v>
      </c>
      <c r="Z36" s="187"/>
      <c r="AA36" s="187">
        <f t="shared" si="3"/>
        <v>16343016</v>
      </c>
      <c r="AB36" s="186">
        <v>29</v>
      </c>
      <c r="AC36" s="158"/>
      <c r="AD36" s="158"/>
      <c r="AE36" s="188"/>
      <c r="AF36" s="188"/>
      <c r="AG36" s="188"/>
      <c r="AH36" s="188"/>
      <c r="AI36" s="188"/>
      <c r="AJ36" s="188"/>
    </row>
    <row r="37" spans="1:36">
      <c r="A37" s="195">
        <f t="shared" si="4"/>
        <v>2052</v>
      </c>
      <c r="B37" s="186">
        <v>30</v>
      </c>
      <c r="C37" s="158">
        <v>0</v>
      </c>
      <c r="E37" s="158">
        <v>0</v>
      </c>
      <c r="F37" s="158"/>
      <c r="G37" s="158">
        <v>0</v>
      </c>
      <c r="H37" s="158"/>
      <c r="I37" s="158">
        <v>0</v>
      </c>
      <c r="J37" s="158"/>
      <c r="K37" s="158">
        <v>0</v>
      </c>
      <c r="M37" s="158">
        <v>0</v>
      </c>
      <c r="O37" s="204">
        <v>5202115</v>
      </c>
      <c r="P37" s="187"/>
      <c r="Q37" s="204">
        <v>11742885</v>
      </c>
      <c r="R37" s="204"/>
      <c r="S37" s="204">
        <v>1983200</v>
      </c>
      <c r="T37" s="204"/>
      <c r="U37" s="204">
        <v>5416800</v>
      </c>
      <c r="V37" s="204"/>
      <c r="W37" s="204"/>
      <c r="X37" s="204"/>
      <c r="Y37" s="187">
        <f t="shared" si="2"/>
        <v>7185315</v>
      </c>
      <c r="Z37" s="187"/>
      <c r="AA37" s="187">
        <f t="shared" si="3"/>
        <v>17159685</v>
      </c>
      <c r="AB37" s="186">
        <v>30</v>
      </c>
      <c r="AC37" s="158"/>
      <c r="AD37" s="158"/>
      <c r="AE37" s="188"/>
      <c r="AF37" s="188"/>
      <c r="AG37" s="188"/>
      <c r="AH37" s="188"/>
      <c r="AI37" s="188"/>
      <c r="AJ37" s="188"/>
    </row>
    <row r="38" spans="1:36">
      <c r="A38" s="195">
        <f t="shared" si="4"/>
        <v>2053</v>
      </c>
      <c r="B38" s="186">
        <v>31</v>
      </c>
      <c r="C38" s="158">
        <v>0</v>
      </c>
      <c r="E38" s="158">
        <v>0</v>
      </c>
      <c r="F38" s="158"/>
      <c r="G38" s="158">
        <v>0</v>
      </c>
      <c r="H38" s="158"/>
      <c r="I38" s="158">
        <v>0</v>
      </c>
      <c r="J38" s="158"/>
      <c r="K38" s="158">
        <v>0</v>
      </c>
      <c r="M38" s="158">
        <v>0</v>
      </c>
      <c r="O38" s="204">
        <v>5155967</v>
      </c>
      <c r="P38" s="187"/>
      <c r="Q38" s="204">
        <v>12404033</v>
      </c>
      <c r="R38" s="204"/>
      <c r="S38" s="204">
        <v>1953479</v>
      </c>
      <c r="T38" s="204"/>
      <c r="U38" s="204">
        <v>5701521</v>
      </c>
      <c r="V38" s="204"/>
      <c r="W38" s="204"/>
      <c r="X38" s="204"/>
      <c r="Y38" s="187">
        <f t="shared" si="2"/>
        <v>7109446</v>
      </c>
      <c r="Z38" s="187"/>
      <c r="AA38" s="187">
        <f t="shared" si="3"/>
        <v>18105554</v>
      </c>
      <c r="AB38" s="186">
        <v>31</v>
      </c>
      <c r="AC38" s="158"/>
      <c r="AD38" s="158"/>
      <c r="AE38" s="188"/>
      <c r="AF38" s="188"/>
      <c r="AG38" s="188"/>
      <c r="AH38" s="188"/>
      <c r="AI38" s="188"/>
      <c r="AJ38" s="188"/>
    </row>
    <row r="39" spans="1:36">
      <c r="A39" s="195">
        <f t="shared" si="4"/>
        <v>2054</v>
      </c>
      <c r="B39" s="186">
        <v>32</v>
      </c>
      <c r="C39" s="158">
        <v>0</v>
      </c>
      <c r="E39" s="158">
        <v>0</v>
      </c>
      <c r="F39" s="158"/>
      <c r="G39" s="158">
        <v>0</v>
      </c>
      <c r="H39" s="158"/>
      <c r="I39" s="158">
        <v>0</v>
      </c>
      <c r="J39" s="158"/>
      <c r="K39" s="158">
        <v>0</v>
      </c>
      <c r="M39" s="158">
        <v>0</v>
      </c>
      <c r="O39" s="204">
        <v>5076640</v>
      </c>
      <c r="P39" s="187"/>
      <c r="Q39" s="204">
        <v>13008360</v>
      </c>
      <c r="R39" s="204"/>
      <c r="S39" s="204">
        <v>1900693</v>
      </c>
      <c r="T39" s="204"/>
      <c r="U39" s="204">
        <v>5924308</v>
      </c>
      <c r="V39" s="204"/>
      <c r="W39" s="204"/>
      <c r="X39" s="204"/>
      <c r="Y39" s="187">
        <f t="shared" si="2"/>
        <v>6977333</v>
      </c>
      <c r="Z39" s="187"/>
      <c r="AA39" s="187">
        <f t="shared" si="3"/>
        <v>18932668</v>
      </c>
      <c r="AB39" s="186">
        <v>32</v>
      </c>
      <c r="AC39" s="158"/>
      <c r="AD39" s="158"/>
      <c r="AE39" s="188"/>
      <c r="AF39" s="188"/>
      <c r="AG39" s="188"/>
      <c r="AH39" s="188"/>
      <c r="AI39" s="188"/>
      <c r="AJ39" s="188"/>
    </row>
    <row r="40" spans="1:36">
      <c r="A40" s="195">
        <f t="shared" si="4"/>
        <v>2055</v>
      </c>
      <c r="B40" s="186">
        <v>33</v>
      </c>
      <c r="C40" s="158">
        <v>0</v>
      </c>
      <c r="E40" s="158">
        <v>0</v>
      </c>
      <c r="F40" s="158"/>
      <c r="G40" s="158">
        <v>0</v>
      </c>
      <c r="H40" s="158"/>
      <c r="I40" s="158">
        <v>0</v>
      </c>
      <c r="J40" s="158"/>
      <c r="K40" s="158">
        <v>0</v>
      </c>
      <c r="M40" s="158">
        <v>0</v>
      </c>
      <c r="O40" s="204">
        <v>4989636</v>
      </c>
      <c r="P40" s="187"/>
      <c r="Q40" s="204">
        <v>13610364</v>
      </c>
      <c r="R40" s="204"/>
      <c r="S40" s="204">
        <v>1847724</v>
      </c>
      <c r="T40" s="204"/>
      <c r="U40" s="204">
        <v>6147276</v>
      </c>
      <c r="V40" s="204"/>
      <c r="W40" s="204"/>
      <c r="X40" s="204"/>
      <c r="Y40" s="187">
        <f t="shared" si="2"/>
        <v>6837360</v>
      </c>
      <c r="Z40" s="187"/>
      <c r="AA40" s="187">
        <f t="shared" si="3"/>
        <v>19757640</v>
      </c>
      <c r="AB40" s="186">
        <v>33</v>
      </c>
      <c r="AC40" s="158"/>
      <c r="AD40" s="158"/>
      <c r="AE40" s="188"/>
      <c r="AF40" s="188"/>
      <c r="AG40" s="188"/>
      <c r="AH40" s="188"/>
      <c r="AI40" s="188"/>
      <c r="AJ40" s="188"/>
    </row>
    <row r="41" spans="1:36">
      <c r="A41" s="195">
        <f t="shared" si="4"/>
        <v>2056</v>
      </c>
      <c r="B41" s="186">
        <v>34</v>
      </c>
      <c r="C41" s="158">
        <v>0</v>
      </c>
      <c r="E41" s="158">
        <v>0</v>
      </c>
      <c r="F41" s="158"/>
      <c r="G41" s="158">
        <v>0</v>
      </c>
      <c r="H41" s="158"/>
      <c r="I41" s="158">
        <v>0</v>
      </c>
      <c r="J41" s="158"/>
      <c r="K41" s="158">
        <v>0</v>
      </c>
      <c r="M41" s="158">
        <v>0</v>
      </c>
      <c r="O41" s="204">
        <v>4895847</v>
      </c>
      <c r="P41" s="187"/>
      <c r="Q41" s="204">
        <v>14209151</v>
      </c>
      <c r="R41" s="204"/>
      <c r="S41" s="204">
        <v>1829918</v>
      </c>
      <c r="T41" s="204"/>
      <c r="U41" s="204">
        <v>6495081</v>
      </c>
      <c r="V41" s="204"/>
      <c r="W41" s="188"/>
      <c r="X41" s="204"/>
      <c r="Y41" s="187">
        <f t="shared" si="2"/>
        <v>6725765</v>
      </c>
      <c r="Z41" s="187"/>
      <c r="AA41" s="187">
        <f t="shared" si="3"/>
        <v>20704232</v>
      </c>
      <c r="AB41" s="186">
        <v>34</v>
      </c>
      <c r="AC41" s="158"/>
      <c r="AD41" s="158"/>
      <c r="AE41" s="188"/>
      <c r="AF41" s="188"/>
      <c r="AG41" s="188"/>
      <c r="AH41" s="188"/>
      <c r="AI41" s="188"/>
      <c r="AJ41" s="188"/>
    </row>
    <row r="42" spans="1:36">
      <c r="A42" s="195"/>
      <c r="C42" s="160"/>
      <c r="E42" s="160"/>
      <c r="F42" s="158"/>
      <c r="G42" s="160"/>
      <c r="H42" s="158"/>
      <c r="I42" s="160"/>
      <c r="J42" s="158"/>
      <c r="K42" s="160"/>
      <c r="M42" s="160"/>
      <c r="O42" s="203"/>
      <c r="P42" s="187"/>
      <c r="Q42" s="203"/>
      <c r="R42" s="204"/>
      <c r="S42" s="203"/>
      <c r="T42" s="204"/>
      <c r="U42" s="203"/>
      <c r="V42" s="204"/>
      <c r="W42" s="188"/>
      <c r="X42" s="204"/>
      <c r="Y42" s="203"/>
      <c r="Z42" s="204"/>
      <c r="AA42" s="203"/>
      <c r="AB42" s="158"/>
      <c r="AC42" s="188"/>
      <c r="AD42" s="188"/>
      <c r="AE42" s="188"/>
      <c r="AF42" s="188"/>
      <c r="AG42" s="188"/>
      <c r="AH42" s="188"/>
      <c r="AI42" s="188"/>
      <c r="AJ42" s="188"/>
    </row>
    <row r="43" spans="1:36">
      <c r="W43" s="188"/>
      <c r="AC43" s="188"/>
      <c r="AD43" s="188"/>
      <c r="AE43" s="188"/>
      <c r="AF43" s="188"/>
      <c r="AG43" s="188"/>
      <c r="AH43" s="188"/>
      <c r="AI43" s="188"/>
      <c r="AJ43" s="188"/>
    </row>
    <row r="44" spans="1:36" ht="13.5" thickBot="1">
      <c r="A44" s="195"/>
      <c r="C44" s="162">
        <f>SUM(C8:C42)</f>
        <v>1425000</v>
      </c>
      <c r="D44" s="188"/>
      <c r="E44" s="162">
        <f>SUM(E8:E42)</f>
        <v>71250</v>
      </c>
      <c r="F44" s="163"/>
      <c r="G44" s="162">
        <f>SUM(G8:G42)</f>
        <v>9870000</v>
      </c>
      <c r="H44" s="164"/>
      <c r="I44" s="162">
        <f>SUM(I8:I42)</f>
        <v>9346700</v>
      </c>
      <c r="J44" s="164"/>
      <c r="K44" s="162">
        <f>SUM(K8:K42)</f>
        <v>56400000</v>
      </c>
      <c r="L44" s="164"/>
      <c r="M44" s="162">
        <f>SUM(M8:M42)</f>
        <v>17713084</v>
      </c>
      <c r="O44" s="162">
        <f>SUM(O8:O42)</f>
        <v>151650345</v>
      </c>
      <c r="Q44" s="162">
        <f>SUM(Q8:Q42)</f>
        <v>193520355</v>
      </c>
      <c r="R44" s="163"/>
      <c r="S44" s="162">
        <f>SUM(S8:S42)</f>
        <v>63884707</v>
      </c>
      <c r="T44" s="163"/>
      <c r="U44" s="162">
        <f>SUM(U8:U42)</f>
        <v>90108993</v>
      </c>
      <c r="V44" s="163"/>
      <c r="W44" s="188"/>
      <c r="X44" s="163"/>
      <c r="Y44" s="162">
        <f>SUM(Y8:Y42)</f>
        <v>283230052</v>
      </c>
      <c r="Z44" s="163"/>
      <c r="AA44" s="162">
        <f>SUM(AA8:AA42)</f>
        <v>310760382</v>
      </c>
      <c r="AB44" s="163"/>
      <c r="AC44" s="188"/>
      <c r="AD44" s="188"/>
      <c r="AE44" s="188"/>
      <c r="AF44" s="188"/>
      <c r="AG44" s="188"/>
      <c r="AH44" s="188"/>
      <c r="AI44" s="188"/>
      <c r="AJ44" s="188"/>
    </row>
    <row r="45" spans="1:36" ht="13.5" thickTop="1">
      <c r="A45" s="195"/>
      <c r="C45" s="163"/>
      <c r="D45" s="188"/>
      <c r="E45" s="163"/>
      <c r="F45" s="163"/>
      <c r="G45" s="163"/>
      <c r="H45" s="164"/>
      <c r="I45" s="163"/>
      <c r="J45" s="164"/>
      <c r="K45" s="163"/>
      <c r="L45" s="164"/>
      <c r="M45" s="163"/>
      <c r="R45" s="163"/>
      <c r="S45" s="163"/>
      <c r="T45" s="163"/>
      <c r="U45" s="163"/>
      <c r="V45" s="163"/>
      <c r="W45" s="188"/>
      <c r="X45" s="163"/>
      <c r="Y45" s="163"/>
      <c r="Z45" s="163"/>
      <c r="AA45" s="163"/>
      <c r="AB45" s="163"/>
      <c r="AC45" s="188"/>
      <c r="AD45" s="188"/>
      <c r="AE45" s="188"/>
      <c r="AF45" s="188"/>
      <c r="AG45" s="188"/>
      <c r="AH45" s="188"/>
      <c r="AI45" s="188"/>
      <c r="AJ45" s="188"/>
    </row>
    <row r="46" spans="1:36">
      <c r="A46" s="195"/>
      <c r="C46" s="163"/>
      <c r="D46" s="188"/>
      <c r="E46" s="163"/>
      <c r="F46" s="163"/>
      <c r="G46" s="163"/>
      <c r="H46" s="163"/>
      <c r="I46" s="163"/>
      <c r="J46" s="163"/>
      <c r="K46" s="163"/>
      <c r="L46" s="163"/>
      <c r="M46" s="188"/>
      <c r="R46" s="188"/>
      <c r="S46" s="188"/>
      <c r="T46" s="188"/>
      <c r="U46" s="188"/>
      <c r="V46" s="188"/>
      <c r="W46" s="188"/>
      <c r="X46" s="188"/>
      <c r="Y46" s="188"/>
      <c r="Z46" s="188"/>
      <c r="AA46" s="188"/>
      <c r="AB46" s="188"/>
      <c r="AC46" s="188"/>
      <c r="AD46" s="188"/>
      <c r="AE46" s="188"/>
      <c r="AF46" s="188"/>
      <c r="AG46" s="163"/>
      <c r="AH46" s="188"/>
      <c r="AI46" s="163"/>
    </row>
    <row r="47" spans="1:36">
      <c r="C47" s="200" t="s">
        <v>39</v>
      </c>
      <c r="D47" s="201"/>
      <c r="E47" s="200"/>
      <c r="F47" s="200"/>
      <c r="G47" s="200"/>
      <c r="I47" s="200" t="s">
        <v>72</v>
      </c>
      <c r="J47" s="201"/>
      <c r="K47" s="201"/>
      <c r="L47" s="201"/>
      <c r="M47" s="201"/>
      <c r="N47" s="188"/>
      <c r="O47" s="200" t="s">
        <v>73</v>
      </c>
      <c r="P47" s="201"/>
      <c r="Q47" s="201"/>
      <c r="R47" s="201"/>
      <c r="S47" s="201"/>
      <c r="T47" s="202"/>
      <c r="U47" s="200" t="s">
        <v>98</v>
      </c>
      <c r="V47" s="201"/>
      <c r="W47" s="201"/>
      <c r="X47" s="201"/>
      <c r="Y47" s="201"/>
      <c r="Z47" s="188"/>
      <c r="AA47" s="200" t="s">
        <v>97</v>
      </c>
      <c r="AB47" s="201"/>
      <c r="AC47" s="201"/>
      <c r="AD47" s="201"/>
      <c r="AE47" s="201"/>
      <c r="AF47" s="188"/>
      <c r="AG47" s="200" t="s">
        <v>74</v>
      </c>
      <c r="AH47" s="201"/>
      <c r="AI47" s="200"/>
    </row>
    <row r="48" spans="1:36" ht="13.5">
      <c r="A48" s="229"/>
      <c r="B48" s="229"/>
      <c r="C48" s="229"/>
      <c r="D48" s="229"/>
      <c r="E48" s="229"/>
      <c r="F48" s="199"/>
      <c r="G48" s="199"/>
      <c r="H48" s="199"/>
      <c r="I48" s="199"/>
      <c r="J48" s="199"/>
      <c r="K48" s="199"/>
      <c r="L48" s="188"/>
      <c r="M48" s="199"/>
      <c r="N48" s="188"/>
      <c r="O48" s="199"/>
      <c r="P48" s="188"/>
      <c r="Z48" s="188"/>
      <c r="AE48" s="188"/>
      <c r="AF48" s="188"/>
      <c r="AG48" s="188"/>
      <c r="AH48" s="188"/>
      <c r="AI48" s="188"/>
    </row>
    <row r="49" spans="1:35">
      <c r="A49" s="195" t="s">
        <v>38</v>
      </c>
      <c r="C49" s="195" t="s">
        <v>37</v>
      </c>
      <c r="D49" s="195"/>
      <c r="E49" s="195" t="s">
        <v>3</v>
      </c>
      <c r="F49" s="195"/>
      <c r="G49" s="195" t="s">
        <v>36</v>
      </c>
      <c r="H49" s="195"/>
      <c r="I49" s="195" t="s">
        <v>37</v>
      </c>
      <c r="J49" s="195"/>
      <c r="K49" s="195" t="s">
        <v>3</v>
      </c>
      <c r="L49" s="195"/>
      <c r="M49" s="195" t="s">
        <v>36</v>
      </c>
      <c r="N49" s="195"/>
      <c r="O49" s="195" t="s">
        <v>37</v>
      </c>
      <c r="P49" s="195"/>
      <c r="Q49" s="195" t="s">
        <v>3</v>
      </c>
      <c r="R49" s="195"/>
      <c r="S49" s="195" t="s">
        <v>36</v>
      </c>
      <c r="T49" s="195"/>
      <c r="U49" s="195" t="s">
        <v>37</v>
      </c>
      <c r="V49" s="195"/>
      <c r="W49" s="195" t="s">
        <v>3</v>
      </c>
      <c r="X49" s="195"/>
      <c r="Y49" s="195" t="s">
        <v>36</v>
      </c>
      <c r="Z49" s="195"/>
      <c r="AA49" s="195" t="s">
        <v>37</v>
      </c>
      <c r="AB49" s="195"/>
      <c r="AC49" s="195" t="s">
        <v>3</v>
      </c>
      <c r="AD49" s="195"/>
      <c r="AE49" s="195" t="s">
        <v>36</v>
      </c>
      <c r="AF49" s="195"/>
      <c r="AG49" s="195" t="s">
        <v>37</v>
      </c>
      <c r="AH49" s="188"/>
      <c r="AI49" s="195" t="s">
        <v>3</v>
      </c>
    </row>
    <row r="50" spans="1:35" ht="15" customHeight="1">
      <c r="A50" s="195">
        <v>2023</v>
      </c>
      <c r="C50" s="159">
        <f>C8</f>
        <v>1425000</v>
      </c>
      <c r="D50" s="187"/>
      <c r="E50" s="159">
        <f>E8</f>
        <v>71250</v>
      </c>
      <c r="F50" s="165"/>
      <c r="G50" s="166">
        <f>SUM(C50:E50)</f>
        <v>1496250</v>
      </c>
      <c r="H50" s="165"/>
      <c r="I50" s="159">
        <v>0</v>
      </c>
      <c r="J50" s="159"/>
      <c r="K50" s="198">
        <f>I8</f>
        <v>369000</v>
      </c>
      <c r="L50" s="159"/>
      <c r="M50" s="159">
        <f t="shared" ref="M50:M60" si="5">SUM(I50:K50)</f>
        <v>369000</v>
      </c>
      <c r="N50" s="159"/>
      <c r="O50" s="159">
        <f>K8</f>
        <v>815000</v>
      </c>
      <c r="Q50" s="159">
        <f>M8</f>
        <v>1285854</v>
      </c>
      <c r="S50" s="187">
        <f t="shared" ref="S50:S59" si="6">SUM(O50:Q50)</f>
        <v>2100854</v>
      </c>
      <c r="U50" s="187">
        <f>O8</f>
        <v>0</v>
      </c>
      <c r="W50" s="187">
        <f>Q8</f>
        <v>3295900</v>
      </c>
      <c r="Y50" s="187">
        <f t="shared" ref="Y50:Y60" si="7">SUM(U50:W50)</f>
        <v>3295900</v>
      </c>
      <c r="AA50" s="187">
        <f>S8</f>
        <v>0</v>
      </c>
      <c r="AC50" s="187">
        <f>U8</f>
        <v>1478350</v>
      </c>
      <c r="AE50" s="187">
        <f t="shared" ref="AE50:AE60" si="8">SUM(AA50:AD50)</f>
        <v>1478350</v>
      </c>
      <c r="AG50" s="192">
        <f t="shared" ref="AG50:AG60" si="9">C50+I50+O50+U50+AA50</f>
        <v>2240000</v>
      </c>
      <c r="AH50" s="192"/>
      <c r="AI50" s="192">
        <f t="shared" ref="AI50:AI60" si="10">E50+K50+Q50+W50+AC50</f>
        <v>6500354</v>
      </c>
    </row>
    <row r="51" spans="1:35" ht="15" customHeight="1">
      <c r="A51" s="195">
        <v>2024</v>
      </c>
      <c r="C51" s="159">
        <f>C9</f>
        <v>0</v>
      </c>
      <c r="D51" s="187"/>
      <c r="E51" s="159">
        <f>E9</f>
        <v>0</v>
      </c>
      <c r="F51" s="165"/>
      <c r="G51" s="159">
        <f>SUM(C51:E51)</f>
        <v>0</v>
      </c>
      <c r="H51" s="165"/>
      <c r="I51" s="159">
        <v>0</v>
      </c>
      <c r="J51" s="159"/>
      <c r="K51" s="198">
        <f>I9</f>
        <v>369000</v>
      </c>
      <c r="L51" s="159"/>
      <c r="M51" s="159">
        <f t="shared" si="5"/>
        <v>369000</v>
      </c>
      <c r="N51" s="159"/>
      <c r="O51" s="159">
        <f>K9</f>
        <v>2325000</v>
      </c>
      <c r="Q51" s="159">
        <f>M9</f>
        <v>1279317</v>
      </c>
      <c r="S51" s="187">
        <f t="shared" si="6"/>
        <v>3604317</v>
      </c>
      <c r="U51" s="187">
        <f>O9</f>
        <v>0</v>
      </c>
      <c r="W51" s="187">
        <f>Q9</f>
        <v>3295900</v>
      </c>
      <c r="Y51" s="187">
        <f t="shared" si="7"/>
        <v>3295900</v>
      </c>
      <c r="AA51" s="187">
        <f>S9</f>
        <v>0</v>
      </c>
      <c r="AC51" s="187">
        <f>U9</f>
        <v>1478350</v>
      </c>
      <c r="AE51" s="187">
        <f t="shared" si="8"/>
        <v>1478350</v>
      </c>
      <c r="AG51" s="192">
        <f t="shared" si="9"/>
        <v>2325000</v>
      </c>
      <c r="AH51" s="192"/>
      <c r="AI51" s="192">
        <f t="shared" si="10"/>
        <v>6422567</v>
      </c>
    </row>
    <row r="52" spans="1:35" ht="15" customHeight="1">
      <c r="A52" s="195">
        <v>2025</v>
      </c>
      <c r="C52" s="159">
        <f>C10</f>
        <v>0</v>
      </c>
      <c r="D52" s="187"/>
      <c r="E52" s="159">
        <f>E10</f>
        <v>0</v>
      </c>
      <c r="F52" s="165"/>
      <c r="G52" s="159">
        <f>SUM(C52:E52)</f>
        <v>0</v>
      </c>
      <c r="H52" s="165"/>
      <c r="I52" s="159">
        <v>0</v>
      </c>
      <c r="J52" s="159"/>
      <c r="K52" s="198">
        <f>I10</f>
        <v>369000</v>
      </c>
      <c r="L52" s="159"/>
      <c r="M52" s="159">
        <f t="shared" si="5"/>
        <v>369000</v>
      </c>
      <c r="N52" s="159"/>
      <c r="O52" s="159">
        <f>K10</f>
        <v>2345000</v>
      </c>
      <c r="Q52" s="159">
        <f>M10</f>
        <v>1256904</v>
      </c>
      <c r="S52" s="187">
        <f t="shared" si="6"/>
        <v>3601904</v>
      </c>
      <c r="U52" s="187">
        <f>O10</f>
        <v>0</v>
      </c>
      <c r="W52" s="187">
        <f>Q10</f>
        <v>3295900</v>
      </c>
      <c r="Y52" s="187">
        <f t="shared" si="7"/>
        <v>3295900</v>
      </c>
      <c r="AA52" s="187">
        <f>S10</f>
        <v>0</v>
      </c>
      <c r="AC52" s="187">
        <f>U10</f>
        <v>1478350</v>
      </c>
      <c r="AE52" s="187">
        <f t="shared" si="8"/>
        <v>1478350</v>
      </c>
      <c r="AG52" s="192">
        <f t="shared" si="9"/>
        <v>2345000</v>
      </c>
      <c r="AH52" s="192"/>
      <c r="AI52" s="192">
        <f t="shared" si="10"/>
        <v>6400154</v>
      </c>
    </row>
    <row r="53" spans="1:35" ht="15" customHeight="1">
      <c r="A53" s="195">
        <v>2026</v>
      </c>
      <c r="C53" s="159">
        <f>C11</f>
        <v>0</v>
      </c>
      <c r="D53" s="187"/>
      <c r="E53" s="159">
        <f>E11</f>
        <v>0</v>
      </c>
      <c r="F53" s="165"/>
      <c r="G53" s="159">
        <f>SUM(C53:E53)</f>
        <v>0</v>
      </c>
      <c r="H53" s="165"/>
      <c r="I53" s="159">
        <v>0</v>
      </c>
      <c r="J53" s="159"/>
      <c r="K53" s="198">
        <f>I11</f>
        <v>369000</v>
      </c>
      <c r="L53" s="159"/>
      <c r="M53" s="159">
        <f t="shared" si="5"/>
        <v>369000</v>
      </c>
      <c r="N53" s="159"/>
      <c r="O53" s="159">
        <f>K11</f>
        <v>2365000</v>
      </c>
      <c r="Q53" s="159">
        <f>M11</f>
        <v>1231954</v>
      </c>
      <c r="S53" s="187">
        <f t="shared" si="6"/>
        <v>3596954</v>
      </c>
      <c r="U53" s="187">
        <f>O11</f>
        <v>0</v>
      </c>
      <c r="W53" s="187">
        <f>Q11</f>
        <v>3295900</v>
      </c>
      <c r="Y53" s="187">
        <f t="shared" si="7"/>
        <v>3295900</v>
      </c>
      <c r="AA53" s="187">
        <f>S11</f>
        <v>0</v>
      </c>
      <c r="AC53" s="187">
        <f>U11</f>
        <v>1478350</v>
      </c>
      <c r="AE53" s="187">
        <f t="shared" si="8"/>
        <v>1478350</v>
      </c>
      <c r="AG53" s="192">
        <f t="shared" si="9"/>
        <v>2365000</v>
      </c>
      <c r="AH53" s="192"/>
      <c r="AI53" s="192">
        <f t="shared" si="10"/>
        <v>6375204</v>
      </c>
    </row>
    <row r="54" spans="1:35" ht="15" customHeight="1">
      <c r="A54" s="195">
        <v>2027</v>
      </c>
      <c r="C54" s="159">
        <f>C12</f>
        <v>0</v>
      </c>
      <c r="D54" s="187"/>
      <c r="E54" s="159">
        <f>E12</f>
        <v>0</v>
      </c>
      <c r="F54" s="165"/>
      <c r="G54" s="159">
        <f>SUM(C54:E54)</f>
        <v>0</v>
      </c>
      <c r="H54" s="165"/>
      <c r="I54" s="159">
        <v>0</v>
      </c>
      <c r="J54" s="159"/>
      <c r="K54" s="198">
        <f>I12</f>
        <v>369000</v>
      </c>
      <c r="L54" s="159"/>
      <c r="M54" s="159">
        <f t="shared" si="5"/>
        <v>369000</v>
      </c>
      <c r="N54" s="159"/>
      <c r="O54" s="159">
        <f>K12</f>
        <v>2400000</v>
      </c>
      <c r="Q54" s="159">
        <f>M12</f>
        <v>1199695</v>
      </c>
      <c r="S54" s="187">
        <f t="shared" si="6"/>
        <v>3599695</v>
      </c>
      <c r="U54" s="187">
        <f>O12</f>
        <v>0</v>
      </c>
      <c r="W54" s="187">
        <f>Q12</f>
        <v>3295900</v>
      </c>
      <c r="Y54" s="187">
        <f t="shared" si="7"/>
        <v>3295900</v>
      </c>
      <c r="AA54" s="187">
        <f>S12</f>
        <v>0</v>
      </c>
      <c r="AC54" s="187">
        <f>U12</f>
        <v>1478350</v>
      </c>
      <c r="AE54" s="187">
        <f t="shared" si="8"/>
        <v>1478350</v>
      </c>
      <c r="AG54" s="192">
        <f t="shared" si="9"/>
        <v>2400000</v>
      </c>
      <c r="AH54" s="192"/>
      <c r="AI54" s="192">
        <f t="shared" si="10"/>
        <v>6342945</v>
      </c>
    </row>
    <row r="55" spans="1:35" ht="15" customHeight="1">
      <c r="A55" s="195" t="s">
        <v>104</v>
      </c>
      <c r="C55" s="187">
        <f>SUM(C13:C17)</f>
        <v>0</v>
      </c>
      <c r="D55" s="187"/>
      <c r="E55" s="187">
        <f>SUM(E13:E17)</f>
        <v>0</v>
      </c>
      <c r="F55" s="167"/>
      <c r="G55" s="168">
        <f>E55+C55</f>
        <v>0</v>
      </c>
      <c r="H55" s="167"/>
      <c r="I55" s="187">
        <f>SUM(G13:G17)</f>
        <v>0</v>
      </c>
      <c r="J55" s="187"/>
      <c r="K55" s="187">
        <f>SUM(I13:I17)</f>
        <v>1845000</v>
      </c>
      <c r="L55" s="187"/>
      <c r="M55" s="159">
        <f t="shared" si="5"/>
        <v>1845000</v>
      </c>
      <c r="N55" s="187"/>
      <c r="O55" s="187">
        <f>SUM(K13:K17)</f>
        <v>12625000</v>
      </c>
      <c r="P55" s="187"/>
      <c r="Q55" s="187">
        <f>SUM(M13:M17)</f>
        <v>5380864</v>
      </c>
      <c r="R55" s="187"/>
      <c r="S55" s="187">
        <f t="shared" si="6"/>
        <v>18005864</v>
      </c>
      <c r="T55" s="187"/>
      <c r="U55" s="187">
        <f>SUM(O13:O17)</f>
        <v>12330000</v>
      </c>
      <c r="V55" s="187"/>
      <c r="W55" s="187">
        <f>SUM(Q13:Q17)</f>
        <v>15647750</v>
      </c>
      <c r="X55" s="187"/>
      <c r="Y55" s="187">
        <f t="shared" si="7"/>
        <v>27977750</v>
      </c>
      <c r="Z55" s="187"/>
      <c r="AA55" s="187">
        <f>SUM(S13:S17)</f>
        <v>4900000</v>
      </c>
      <c r="AC55" s="187">
        <f>SUM(U13:U17)</f>
        <v>7102750</v>
      </c>
      <c r="AE55" s="187">
        <f t="shared" si="8"/>
        <v>12002750</v>
      </c>
      <c r="AF55" s="187"/>
      <c r="AG55" s="192">
        <f t="shared" si="9"/>
        <v>29855000</v>
      </c>
      <c r="AH55" s="192"/>
      <c r="AI55" s="192">
        <f t="shared" si="10"/>
        <v>29976364</v>
      </c>
    </row>
    <row r="56" spans="1:35" ht="15" customHeight="1">
      <c r="A56" s="195" t="s">
        <v>105</v>
      </c>
      <c r="C56" s="187">
        <f>SUM(C18:C22)</f>
        <v>0</v>
      </c>
      <c r="D56" s="187"/>
      <c r="E56" s="187">
        <f>SUM(E18:E22)</f>
        <v>0</v>
      </c>
      <c r="F56" s="167"/>
      <c r="G56" s="168">
        <f>E56+C56</f>
        <v>0</v>
      </c>
      <c r="H56" s="167"/>
      <c r="I56" s="187">
        <f>SUM(G18:G22)</f>
        <v>0</v>
      </c>
      <c r="J56" s="187"/>
      <c r="K56" s="187">
        <f>SUM(I18:I22)</f>
        <v>1845000</v>
      </c>
      <c r="L56" s="187"/>
      <c r="M56" s="159">
        <f t="shared" si="5"/>
        <v>1845000</v>
      </c>
      <c r="N56" s="187"/>
      <c r="O56" s="187">
        <f>SUM(K18:K22)</f>
        <v>13990000</v>
      </c>
      <c r="P56" s="187"/>
      <c r="Q56" s="187">
        <f>SUM(M18:M22)</f>
        <v>4008973</v>
      </c>
      <c r="R56" s="187"/>
      <c r="S56" s="187">
        <f t="shared" si="6"/>
        <v>17998973</v>
      </c>
      <c r="T56" s="187"/>
      <c r="U56" s="187">
        <f>SUM(O18:O22)</f>
        <v>27765000</v>
      </c>
      <c r="V56" s="187"/>
      <c r="W56" s="187">
        <f>SUM(Q18:Q22)</f>
        <v>10917250</v>
      </c>
      <c r="X56" s="187"/>
      <c r="Y56" s="187">
        <f t="shared" si="7"/>
        <v>38682250</v>
      </c>
      <c r="Z56" s="187"/>
      <c r="AA56" s="187">
        <f>SUM(S18:S22)</f>
        <v>12715000</v>
      </c>
      <c r="AC56" s="187">
        <f>SUM(U18:U22)</f>
        <v>5038000</v>
      </c>
      <c r="AE56" s="187">
        <f t="shared" si="8"/>
        <v>17753000</v>
      </c>
      <c r="AF56" s="187"/>
      <c r="AG56" s="192">
        <f t="shared" si="9"/>
        <v>54470000</v>
      </c>
      <c r="AH56" s="192"/>
      <c r="AI56" s="192">
        <f t="shared" si="10"/>
        <v>21809223</v>
      </c>
    </row>
    <row r="57" spans="1:35" ht="15" customHeight="1">
      <c r="A57" s="195" t="s">
        <v>106</v>
      </c>
      <c r="C57" s="187">
        <f>SUM(C23:C27)</f>
        <v>0</v>
      </c>
      <c r="D57" s="187"/>
      <c r="E57" s="187">
        <f>SUM(E23:E27)</f>
        <v>0</v>
      </c>
      <c r="F57" s="167"/>
      <c r="G57" s="168">
        <f>E57+C57</f>
        <v>0</v>
      </c>
      <c r="H57" s="167"/>
      <c r="I57" s="187">
        <f>SUM(G23:G27)</f>
        <v>0</v>
      </c>
      <c r="J57" s="187"/>
      <c r="K57" s="187">
        <f>SUM(I23:I27)</f>
        <v>1845000</v>
      </c>
      <c r="L57" s="187"/>
      <c r="M57" s="159">
        <f t="shared" si="5"/>
        <v>1845000</v>
      </c>
      <c r="N57" s="187"/>
      <c r="O57" s="187">
        <f>SUM(K23:K27)</f>
        <v>16040000</v>
      </c>
      <c r="P57" s="187"/>
      <c r="Q57" s="187">
        <f>SUM(M23:M27)</f>
        <v>1965652</v>
      </c>
      <c r="R57" s="187"/>
      <c r="S57" s="187">
        <f t="shared" si="6"/>
        <v>18005652</v>
      </c>
      <c r="T57" s="187"/>
      <c r="U57" s="187">
        <f>SUM(O23:O27)</f>
        <v>39029257</v>
      </c>
      <c r="V57" s="187"/>
      <c r="W57" s="187">
        <f>SUM(Q23:Q27)</f>
        <v>8901944</v>
      </c>
      <c r="X57" s="187"/>
      <c r="Y57" s="187">
        <f t="shared" si="7"/>
        <v>47931201</v>
      </c>
      <c r="Z57" s="187"/>
      <c r="AA57" s="187">
        <f>SUM(S23:S27)</f>
        <v>17844712</v>
      </c>
      <c r="AC57" s="187">
        <f>SUM(U23:U27)</f>
        <v>4306488</v>
      </c>
      <c r="AE57" s="187">
        <f t="shared" si="8"/>
        <v>22151200</v>
      </c>
      <c r="AF57" s="187"/>
      <c r="AG57" s="192">
        <f t="shared" si="9"/>
        <v>72913969</v>
      </c>
      <c r="AH57" s="192"/>
      <c r="AI57" s="192">
        <f t="shared" si="10"/>
        <v>17019084</v>
      </c>
    </row>
    <row r="58" spans="1:35" ht="15" customHeight="1">
      <c r="A58" s="195" t="s">
        <v>107</v>
      </c>
      <c r="C58" s="187">
        <f>SUM(C28:C32)</f>
        <v>0</v>
      </c>
      <c r="D58" s="188"/>
      <c r="E58" s="187">
        <f>SUM(E28:E32)</f>
        <v>0</v>
      </c>
      <c r="F58" s="194"/>
      <c r="G58" s="168">
        <f>E58+C58</f>
        <v>0</v>
      </c>
      <c r="H58" s="194"/>
      <c r="I58" s="187">
        <f>SUM(G28:G32)</f>
        <v>5325000</v>
      </c>
      <c r="J58" s="188"/>
      <c r="K58" s="187">
        <f>SUM(I28:I32)</f>
        <v>1598300</v>
      </c>
      <c r="L58" s="187"/>
      <c r="M58" s="159">
        <f t="shared" si="5"/>
        <v>6923300</v>
      </c>
      <c r="N58" s="187"/>
      <c r="O58" s="187">
        <f>SUM(K28:K32)</f>
        <v>3495000</v>
      </c>
      <c r="P58" s="188"/>
      <c r="Q58" s="187">
        <f>SUM(M28:M32)</f>
        <v>103871</v>
      </c>
      <c r="R58" s="188"/>
      <c r="S58" s="187">
        <f t="shared" si="6"/>
        <v>3598871</v>
      </c>
      <c r="T58" s="188"/>
      <c r="U58" s="192">
        <f>SUM(O28:O32)</f>
        <v>26409037</v>
      </c>
      <c r="V58" s="188"/>
      <c r="W58" s="192">
        <f>SUM(Q28:Q32)</f>
        <v>36760963</v>
      </c>
      <c r="X58" s="188"/>
      <c r="Y58" s="187">
        <f t="shared" si="7"/>
        <v>63170000</v>
      </c>
      <c r="Z58" s="188"/>
      <c r="AA58" s="187">
        <f>SUM(S28:S32)</f>
        <v>10753998</v>
      </c>
      <c r="AC58" s="187">
        <f>SUM(U28:U32)</f>
        <v>17806002</v>
      </c>
      <c r="AE58" s="187">
        <f t="shared" si="8"/>
        <v>28560000</v>
      </c>
      <c r="AF58" s="188"/>
      <c r="AG58" s="192">
        <f t="shared" si="9"/>
        <v>45983035</v>
      </c>
      <c r="AH58" s="192"/>
      <c r="AI58" s="192">
        <f t="shared" si="10"/>
        <v>56269136</v>
      </c>
    </row>
    <row r="59" spans="1:35" ht="15" customHeight="1">
      <c r="A59" s="195" t="s">
        <v>108</v>
      </c>
      <c r="C59" s="187">
        <f>SUM(C33:C37)</f>
        <v>0</v>
      </c>
      <c r="D59" s="188"/>
      <c r="E59" s="187">
        <f>SUM(E33:E37)</f>
        <v>0</v>
      </c>
      <c r="F59" s="194"/>
      <c r="G59" s="197">
        <f>E59+C59</f>
        <v>0</v>
      </c>
      <c r="H59" s="194"/>
      <c r="I59" s="187">
        <f>SUM(G33:G37)</f>
        <v>4545000</v>
      </c>
      <c r="J59" s="188"/>
      <c r="K59" s="187">
        <f>SUM(I33:I37)</f>
        <v>368400</v>
      </c>
      <c r="L59" s="187"/>
      <c r="M59" s="196">
        <f t="shared" si="5"/>
        <v>4913400</v>
      </c>
      <c r="N59" s="187"/>
      <c r="O59" s="187">
        <f>SUM(M33:M37)</f>
        <v>0</v>
      </c>
      <c r="P59" s="188"/>
      <c r="Q59" s="187">
        <f>SUM(M33:M37)</f>
        <v>0</v>
      </c>
      <c r="R59" s="188"/>
      <c r="S59" s="187">
        <f t="shared" si="6"/>
        <v>0</v>
      </c>
      <c r="T59" s="188"/>
      <c r="U59" s="192">
        <f>SUM(O33:O37)</f>
        <v>25998961</v>
      </c>
      <c r="V59" s="188"/>
      <c r="W59" s="192">
        <f>SUM(Q33:Q37)</f>
        <v>51581040</v>
      </c>
      <c r="X59" s="188"/>
      <c r="Y59" s="187">
        <f t="shared" si="7"/>
        <v>77580001</v>
      </c>
      <c r="Z59" s="188"/>
      <c r="AA59" s="187">
        <f>SUM(S33:S37)</f>
        <v>10139183</v>
      </c>
      <c r="AC59" s="187">
        <f>SUM(U33:U37)</f>
        <v>24195817</v>
      </c>
      <c r="AE59" s="187">
        <f t="shared" si="8"/>
        <v>34335000</v>
      </c>
      <c r="AF59" s="188"/>
      <c r="AG59" s="192">
        <f t="shared" si="9"/>
        <v>40683144</v>
      </c>
      <c r="AH59" s="192"/>
      <c r="AI59" s="192">
        <f t="shared" si="10"/>
        <v>76145257</v>
      </c>
    </row>
    <row r="60" spans="1:35" ht="15" customHeight="1">
      <c r="A60" s="195" t="s">
        <v>109</v>
      </c>
      <c r="C60" s="193">
        <f>SUM(C38:C41)</f>
        <v>0</v>
      </c>
      <c r="D60" s="188"/>
      <c r="E60" s="193">
        <f>SUM(E38:E41)</f>
        <v>0</v>
      </c>
      <c r="F60" s="194"/>
      <c r="G60" s="169">
        <v>0</v>
      </c>
      <c r="H60" s="194"/>
      <c r="I60" s="193">
        <f>SUM(G38:G41)</f>
        <v>0</v>
      </c>
      <c r="J60" s="188"/>
      <c r="K60" s="193">
        <f>SUM(I38:I41)</f>
        <v>0</v>
      </c>
      <c r="L60" s="187"/>
      <c r="M60" s="161">
        <f t="shared" si="5"/>
        <v>0</v>
      </c>
      <c r="N60" s="187"/>
      <c r="O60" s="193">
        <f>SUM(M38:M41)</f>
        <v>0</v>
      </c>
      <c r="P60" s="188"/>
      <c r="Q60" s="193">
        <v>0</v>
      </c>
      <c r="R60" s="188"/>
      <c r="S60" s="193">
        <v>0</v>
      </c>
      <c r="T60" s="188"/>
      <c r="U60" s="191">
        <f>SUM(O38:O41)</f>
        <v>20118090</v>
      </c>
      <c r="V60" s="188"/>
      <c r="W60" s="191">
        <f>SUM(Q38:Q41)</f>
        <v>53231908</v>
      </c>
      <c r="X60" s="188"/>
      <c r="Y60" s="193">
        <f t="shared" si="7"/>
        <v>73349998</v>
      </c>
      <c r="Z60" s="188"/>
      <c r="AA60" s="193">
        <f>SUM(S38:S41)</f>
        <v>7531814</v>
      </c>
      <c r="AC60" s="193">
        <f>SUM(U38:U41)</f>
        <v>24268186</v>
      </c>
      <c r="AE60" s="193">
        <f t="shared" si="8"/>
        <v>31800000</v>
      </c>
      <c r="AF60" s="188"/>
      <c r="AG60" s="191">
        <f t="shared" si="9"/>
        <v>27649904</v>
      </c>
      <c r="AH60" s="192"/>
      <c r="AI60" s="191">
        <f t="shared" si="10"/>
        <v>77500094</v>
      </c>
    </row>
    <row r="61" spans="1:35" ht="13.5" thickBot="1">
      <c r="C61" s="189">
        <f>SUM(C50:C59)</f>
        <v>1425000</v>
      </c>
      <c r="D61" s="187"/>
      <c r="E61" s="189">
        <f>SUM(E50:E59)</f>
        <v>71250</v>
      </c>
      <c r="F61" s="190"/>
      <c r="G61" s="189">
        <f>SUM(G50:G59)</f>
        <v>1496250</v>
      </c>
      <c r="H61" s="190"/>
      <c r="I61" s="189">
        <f>SUM(I50:I60)</f>
        <v>9870000</v>
      </c>
      <c r="J61" s="164"/>
      <c r="K61" s="189">
        <f>SUM(K50:K59)</f>
        <v>9346700</v>
      </c>
      <c r="L61" s="164"/>
      <c r="M61" s="189">
        <f>SUM(M50:M59)</f>
        <v>19216700</v>
      </c>
      <c r="N61" s="164"/>
      <c r="O61" s="189">
        <f>SUM(O50:O59)</f>
        <v>56400000</v>
      </c>
      <c r="P61" s="164"/>
      <c r="Q61" s="189">
        <f>SUM(Q50:Q59)</f>
        <v>17713084</v>
      </c>
      <c r="S61" s="189">
        <f>SUM(S50:S59)</f>
        <v>74113084</v>
      </c>
      <c r="U61" s="189">
        <f>SUM(U50:U60)</f>
        <v>151650345</v>
      </c>
      <c r="W61" s="189">
        <f>SUM(W50:W60)</f>
        <v>193520355</v>
      </c>
      <c r="Y61" s="189">
        <f>SUM(Y50:Y60)</f>
        <v>345170700</v>
      </c>
      <c r="AA61" s="189">
        <f>SUM(AA50:AA60)</f>
        <v>63884707</v>
      </c>
      <c r="AC61" s="189">
        <f>SUM(AC50:AC60)</f>
        <v>90108993</v>
      </c>
      <c r="AE61" s="189">
        <f>SUM(AE50:AE60)</f>
        <v>153993700</v>
      </c>
      <c r="AG61" s="189">
        <f>SUM(AG50:AG60)</f>
        <v>283230052</v>
      </c>
      <c r="AH61" s="188"/>
      <c r="AI61" s="189">
        <f>SUM(AI50:AI60)</f>
        <v>310760382</v>
      </c>
    </row>
    <row r="62" spans="1:35" ht="13.5" thickTop="1">
      <c r="C62" s="187"/>
      <c r="D62" s="187"/>
      <c r="E62" s="188"/>
      <c r="F62" s="187"/>
      <c r="G62" s="187"/>
      <c r="H62" s="187"/>
      <c r="I62" s="187"/>
      <c r="J62" s="187"/>
      <c r="K62" s="187"/>
      <c r="L62" s="187"/>
      <c r="M62" s="187"/>
      <c r="N62" s="187"/>
      <c r="O62" s="187"/>
      <c r="P62" s="187"/>
      <c r="AG62" s="188"/>
      <c r="AH62" s="188"/>
      <c r="AI62" s="188"/>
    </row>
    <row r="63" spans="1:35">
      <c r="Q63" s="187"/>
      <c r="R63" s="187"/>
      <c r="S63" s="187"/>
      <c r="T63" s="187"/>
      <c r="U63" s="187"/>
      <c r="V63" s="187"/>
      <c r="W63" s="187"/>
      <c r="X63" s="187"/>
      <c r="Y63" s="187"/>
      <c r="Z63" s="187"/>
      <c r="AA63" s="187"/>
      <c r="AB63" s="187"/>
      <c r="AC63" s="187"/>
      <c r="AD63" s="187"/>
      <c r="AE63" s="187"/>
      <c r="AF63" s="187"/>
      <c r="AG63" s="187"/>
    </row>
  </sheetData>
  <mergeCells count="5">
    <mergeCell ref="A48:E48"/>
    <mergeCell ref="A1:AI1"/>
    <mergeCell ref="C5:E5"/>
    <mergeCell ref="K5:M5"/>
    <mergeCell ref="O5:Q5"/>
  </mergeCells>
  <printOptions horizontalCentered="1"/>
  <pageMargins left="0.5" right="0.5" top="0.5" bottom="0.5" header="0.5" footer="0.25"/>
  <pageSetup paperSize="5" scale="65" firstPageNumber="342" orientation="landscape" useFirstPageNumber="1" r:id="rId1"/>
  <headerFooter alignWithMargins="0">
    <oddFooter>&amp;L&amp;Z&amp;F</oddFooter>
  </headerFooter>
  <ignoredErrors>
    <ignoredError sqref="C55:C60 E55:E60 K55:K60 I55:I60 O55:O60 Q55:Q59 U55:U60 W58:W60 AC58:AC60 AA55:AA60"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E88"/>
  <sheetViews>
    <sheetView view="pageBreakPreview" zoomScale="60" zoomScaleNormal="100" workbookViewId="0">
      <selection activeCell="AD10" sqref="AD10"/>
    </sheetView>
  </sheetViews>
  <sheetFormatPr defaultColWidth="9.140625" defaultRowHeight="15"/>
  <cols>
    <col min="1" max="1" width="2.28515625" style="14" customWidth="1"/>
    <col min="2" max="2" width="49.5703125" style="14" customWidth="1"/>
    <col min="3" max="3" width="16" style="14" customWidth="1"/>
    <col min="4" max="4" width="15.5703125" style="14" bestFit="1" customWidth="1"/>
    <col min="5" max="5" width="15.85546875" style="14" bestFit="1" customWidth="1"/>
    <col min="6" max="6" width="2.7109375" style="14" customWidth="1"/>
    <col min="7" max="7" width="32.85546875" style="14" customWidth="1"/>
    <col min="8" max="8" width="19.42578125" style="14" customWidth="1"/>
    <col min="9" max="9" width="18.28515625" style="14" bestFit="1" customWidth="1"/>
    <col min="10" max="10" width="18.7109375" style="14" bestFit="1" customWidth="1"/>
    <col min="11" max="11" width="2.28515625" style="14" customWidth="1"/>
    <col min="12" max="12" width="13" style="14" customWidth="1"/>
    <col min="13" max="13" width="19.42578125" style="14" bestFit="1" customWidth="1"/>
    <col min="14" max="15" width="12.28515625" style="14" hidden="1" customWidth="1"/>
    <col min="16" max="16" width="18.28515625" style="14" bestFit="1" customWidth="1"/>
    <col min="17" max="18" width="12.28515625" style="14" hidden="1" customWidth="1"/>
    <col min="19" max="19" width="18.7109375" style="14" bestFit="1" customWidth="1"/>
    <col min="20" max="20" width="2.7109375" style="14" customWidth="1"/>
    <col min="21" max="21" width="12.28515625" style="14" customWidth="1"/>
    <col min="22" max="23" width="12.28515625" style="14" hidden="1" customWidth="1"/>
    <col min="24" max="24" width="12.28515625" style="14" bestFit="1" customWidth="1"/>
    <col min="25" max="26" width="12.28515625" style="14" hidden="1" customWidth="1"/>
    <col min="27" max="27" width="12.28515625" style="14" bestFit="1" customWidth="1"/>
    <col min="28" max="28" width="2.42578125" style="14" customWidth="1"/>
    <col min="29" max="31" width="12.28515625" style="14" customWidth="1"/>
    <col min="32" max="16384" width="9.140625" style="14"/>
  </cols>
  <sheetData>
    <row r="1" spans="2:19">
      <c r="B1" s="1" t="s">
        <v>27</v>
      </c>
      <c r="C1" s="2"/>
      <c r="D1" s="2"/>
      <c r="E1" s="3"/>
      <c r="F1" s="15"/>
      <c r="G1" s="1" t="s">
        <v>28</v>
      </c>
      <c r="H1" s="2"/>
      <c r="I1" s="2"/>
      <c r="J1" s="3"/>
      <c r="K1" s="15"/>
      <c r="L1" s="233" t="s">
        <v>29</v>
      </c>
      <c r="M1" s="222"/>
      <c r="N1" s="222"/>
      <c r="O1" s="222"/>
      <c r="P1" s="222"/>
      <c r="Q1" s="222"/>
      <c r="R1" s="222"/>
      <c r="S1" s="222"/>
    </row>
    <row r="2" spans="2:19">
      <c r="B2" s="4">
        <v>2022</v>
      </c>
      <c r="C2" s="5"/>
      <c r="D2" s="5"/>
      <c r="E2" s="6"/>
      <c r="F2" s="15"/>
      <c r="G2" s="4" t="s">
        <v>110</v>
      </c>
      <c r="H2" s="5"/>
      <c r="I2" s="5"/>
      <c r="J2" s="6"/>
      <c r="K2" s="15"/>
      <c r="L2" s="233" t="s">
        <v>0</v>
      </c>
      <c r="M2" s="222"/>
      <c r="N2" s="222"/>
      <c r="O2" s="222"/>
      <c r="P2" s="222"/>
      <c r="Q2" s="222"/>
      <c r="R2" s="222"/>
      <c r="S2" s="222"/>
    </row>
    <row r="3" spans="2:19">
      <c r="B3" s="7" t="s">
        <v>1</v>
      </c>
      <c r="C3" s="7" t="s">
        <v>2</v>
      </c>
      <c r="D3" s="7" t="s">
        <v>3</v>
      </c>
      <c r="E3" s="7" t="s">
        <v>4</v>
      </c>
      <c r="F3" s="15"/>
      <c r="G3" s="7" t="s">
        <v>1</v>
      </c>
      <c r="H3" s="8" t="s">
        <v>2</v>
      </c>
      <c r="I3" s="8" t="s">
        <v>3</v>
      </c>
      <c r="J3" s="8" t="s">
        <v>4</v>
      </c>
      <c r="K3" s="15"/>
      <c r="L3" s="8" t="s">
        <v>5</v>
      </c>
      <c r="M3" s="8" t="s">
        <v>2</v>
      </c>
      <c r="N3" s="8" t="s">
        <v>3</v>
      </c>
      <c r="O3" s="8" t="s">
        <v>4</v>
      </c>
      <c r="P3" s="8" t="s">
        <v>3</v>
      </c>
      <c r="Q3" s="8" t="s">
        <v>4</v>
      </c>
      <c r="S3" s="8" t="s">
        <v>4</v>
      </c>
    </row>
    <row r="4" spans="2:19">
      <c r="B4" s="151"/>
      <c r="C4" s="150"/>
      <c r="D4" s="150"/>
      <c r="E4" s="150"/>
      <c r="F4" s="15"/>
      <c r="G4" s="151"/>
      <c r="H4" s="152"/>
      <c r="I4" s="152"/>
      <c r="J4" s="152"/>
      <c r="K4" s="15"/>
      <c r="L4" s="76">
        <v>2023</v>
      </c>
      <c r="M4" s="179">
        <v>2240000</v>
      </c>
      <c r="N4" s="110">
        <v>2617817</v>
      </c>
      <c r="O4" s="19">
        <v>2170000</v>
      </c>
      <c r="P4" s="179">
        <v>6500354</v>
      </c>
      <c r="Q4" s="19">
        <v>1530581.95</v>
      </c>
      <c r="R4" s="19">
        <v>129240</v>
      </c>
      <c r="S4" s="179">
        <f>M4+P4</f>
        <v>8740354</v>
      </c>
    </row>
    <row r="5" spans="2:19" ht="20.45" customHeight="1">
      <c r="B5" s="77" t="s">
        <v>54</v>
      </c>
      <c r="C5" s="180">
        <v>1425000</v>
      </c>
      <c r="D5" s="180">
        <v>71250</v>
      </c>
      <c r="E5" s="180">
        <f t="shared" ref="E5" si="0">SUM(C5:D5)</f>
        <v>1496250</v>
      </c>
      <c r="F5" s="15"/>
      <c r="G5" s="77" t="s">
        <v>54</v>
      </c>
      <c r="H5" s="179">
        <v>1425000</v>
      </c>
      <c r="I5" s="179">
        <v>71250</v>
      </c>
      <c r="J5" s="179">
        <f>SUM(H5:I5)</f>
        <v>1496250</v>
      </c>
      <c r="K5" s="15"/>
      <c r="L5" s="76">
        <v>2024</v>
      </c>
      <c r="M5" s="110">
        <v>2325000</v>
      </c>
      <c r="N5" s="110">
        <v>2544317</v>
      </c>
      <c r="O5" s="19">
        <v>2240000</v>
      </c>
      <c r="P5" s="110">
        <v>6422567</v>
      </c>
      <c r="Q5" s="19">
        <v>1277036.5900000001</v>
      </c>
      <c r="R5" s="19">
        <v>125790</v>
      </c>
      <c r="S5" s="22">
        <f>M5+P5</f>
        <v>8747567</v>
      </c>
    </row>
    <row r="6" spans="2:19">
      <c r="B6" s="77" t="s">
        <v>65</v>
      </c>
      <c r="C6" s="78">
        <v>0</v>
      </c>
      <c r="D6" s="78">
        <v>369000</v>
      </c>
      <c r="E6" s="78">
        <f>SUM(C6:D6)</f>
        <v>369000</v>
      </c>
      <c r="F6" s="15"/>
      <c r="G6" s="77" t="s">
        <v>65</v>
      </c>
      <c r="H6" s="78">
        <v>9870000</v>
      </c>
      <c r="I6" s="78">
        <v>9346700</v>
      </c>
      <c r="J6" s="22">
        <f t="shared" ref="J6:J8" si="1">SUM(H6:I6)</f>
        <v>19216700</v>
      </c>
      <c r="K6" s="15"/>
      <c r="L6" s="76">
        <v>2025</v>
      </c>
      <c r="M6" s="110">
        <v>2345000</v>
      </c>
      <c r="N6" s="110">
        <v>2466530</v>
      </c>
      <c r="O6" s="19">
        <v>2325000</v>
      </c>
      <c r="P6" s="110">
        <v>6400154</v>
      </c>
      <c r="Q6" s="19">
        <v>1050746.6000000001</v>
      </c>
      <c r="R6" s="19">
        <v>122190</v>
      </c>
      <c r="S6" s="22">
        <f t="shared" ref="S6:S37" si="2">M6+P6</f>
        <v>8745154</v>
      </c>
    </row>
    <row r="7" spans="2:19" ht="40.15" customHeight="1">
      <c r="B7" s="170" t="s">
        <v>81</v>
      </c>
      <c r="C7" s="78">
        <v>815000</v>
      </c>
      <c r="D7" s="78">
        <v>1285854</v>
      </c>
      <c r="E7" s="78">
        <f>SUM(C7:D7)</f>
        <v>2100854</v>
      </c>
      <c r="F7" s="15"/>
      <c r="G7" s="170" t="s">
        <v>82</v>
      </c>
      <c r="H7" s="78">
        <v>56400000</v>
      </c>
      <c r="I7" s="22">
        <v>17713084</v>
      </c>
      <c r="J7" s="22">
        <f t="shared" si="1"/>
        <v>74113084</v>
      </c>
      <c r="K7" s="15"/>
      <c r="L7" s="76">
        <v>2026</v>
      </c>
      <c r="M7" s="110">
        <v>2365000</v>
      </c>
      <c r="N7" s="110">
        <v>2444117</v>
      </c>
      <c r="O7" s="19">
        <v>2345000</v>
      </c>
      <c r="P7" s="110">
        <v>6375204</v>
      </c>
      <c r="Q7" s="19">
        <v>864307.32</v>
      </c>
      <c r="R7" s="19">
        <v>117990</v>
      </c>
      <c r="S7" s="22">
        <f t="shared" si="2"/>
        <v>8740204</v>
      </c>
    </row>
    <row r="8" spans="2:19" ht="40.15" customHeight="1">
      <c r="B8" s="170" t="s">
        <v>111</v>
      </c>
      <c r="C8" s="78">
        <v>0</v>
      </c>
      <c r="D8" s="78">
        <v>3295900</v>
      </c>
      <c r="E8" s="78">
        <f>SUM(C8:D8)</f>
        <v>3295900</v>
      </c>
      <c r="F8" s="15"/>
      <c r="G8" s="170" t="s">
        <v>111</v>
      </c>
      <c r="H8" s="78">
        <v>151650345</v>
      </c>
      <c r="I8" s="22">
        <v>193520355</v>
      </c>
      <c r="J8" s="22">
        <f t="shared" si="1"/>
        <v>345170700</v>
      </c>
      <c r="K8" s="15"/>
      <c r="L8" s="76">
        <v>2027</v>
      </c>
      <c r="M8" s="110">
        <v>2400000</v>
      </c>
      <c r="N8" s="110"/>
      <c r="O8" s="19"/>
      <c r="P8" s="110">
        <v>6342945</v>
      </c>
      <c r="Q8" s="19"/>
      <c r="R8" s="19"/>
      <c r="S8" s="22">
        <f t="shared" si="2"/>
        <v>8742945</v>
      </c>
    </row>
    <row r="9" spans="2:19" ht="44.25" customHeight="1">
      <c r="B9" s="170" t="s">
        <v>112</v>
      </c>
      <c r="C9" s="78">
        <v>0</v>
      </c>
      <c r="D9" s="78">
        <v>1478350</v>
      </c>
      <c r="E9" s="78">
        <f>SUM(C9:D9)</f>
        <v>1478350</v>
      </c>
      <c r="F9" s="15"/>
      <c r="G9" s="170" t="s">
        <v>112</v>
      </c>
      <c r="H9" s="78">
        <v>63884707</v>
      </c>
      <c r="I9" s="22">
        <v>90108993</v>
      </c>
      <c r="J9" s="22">
        <f>SUM(H9:I9)</f>
        <v>153993700</v>
      </c>
      <c r="K9" s="15"/>
      <c r="L9" s="76">
        <v>2028</v>
      </c>
      <c r="M9" s="110">
        <v>3475000</v>
      </c>
      <c r="N9" s="110">
        <v>2419167</v>
      </c>
      <c r="O9" s="19">
        <v>2575000</v>
      </c>
      <c r="P9" s="110">
        <v>6307809</v>
      </c>
      <c r="Q9" s="19">
        <v>702812.54</v>
      </c>
      <c r="R9" s="19">
        <v>112990</v>
      </c>
      <c r="S9" s="22">
        <f t="shared" si="2"/>
        <v>9782809</v>
      </c>
    </row>
    <row r="10" spans="2:19" ht="20.25" customHeight="1">
      <c r="B10" s="77"/>
      <c r="C10" s="78"/>
      <c r="D10" s="78"/>
      <c r="E10" s="78"/>
      <c r="F10" s="15"/>
      <c r="G10" s="77"/>
      <c r="H10" s="22"/>
      <c r="I10" s="22"/>
      <c r="J10" s="22"/>
      <c r="K10" s="15"/>
      <c r="L10" s="76">
        <v>2029</v>
      </c>
      <c r="M10" s="110">
        <v>4550000</v>
      </c>
      <c r="N10" s="110">
        <v>2379558</v>
      </c>
      <c r="O10" s="19">
        <v>2612000</v>
      </c>
      <c r="P10" s="110">
        <v>6214852</v>
      </c>
      <c r="Q10" s="19">
        <v>575929.32999999996</v>
      </c>
      <c r="R10" s="19">
        <v>107790</v>
      </c>
      <c r="S10" s="22">
        <f t="shared" si="2"/>
        <v>10764852</v>
      </c>
    </row>
    <row r="11" spans="2:19" ht="24" customHeight="1">
      <c r="B11" s="81" t="s">
        <v>6</v>
      </c>
      <c r="C11" s="82">
        <f>SUM(C5:C10)</f>
        <v>2240000</v>
      </c>
      <c r="D11" s="82">
        <f>SUM(D5:D10)</f>
        <v>6500354</v>
      </c>
      <c r="E11" s="82">
        <f>SUM(E6:E10)</f>
        <v>7244104</v>
      </c>
      <c r="F11" s="15"/>
      <c r="G11" s="81" t="s">
        <v>7</v>
      </c>
      <c r="H11" s="83">
        <f>SUM(H5:H10)</f>
        <v>283230052</v>
      </c>
      <c r="I11" s="83">
        <f>SUM(I5:I10)</f>
        <v>310760382</v>
      </c>
      <c r="J11" s="83">
        <f>SUM(J5:J10)</f>
        <v>593990434</v>
      </c>
      <c r="K11" s="15"/>
      <c r="L11" s="76">
        <v>2030</v>
      </c>
      <c r="M11" s="110">
        <v>6080000</v>
      </c>
      <c r="N11" s="110">
        <v>2337002</v>
      </c>
      <c r="O11" s="19">
        <v>2667000</v>
      </c>
      <c r="P11" s="110">
        <v>6066998</v>
      </c>
      <c r="Q11" s="19">
        <v>498463.62</v>
      </c>
      <c r="R11" s="19">
        <v>102052.5</v>
      </c>
      <c r="S11" s="22">
        <f t="shared" si="2"/>
        <v>12146998</v>
      </c>
    </row>
    <row r="12" spans="2:19">
      <c r="J12" s="80"/>
      <c r="K12" s="15"/>
      <c r="L12" s="76">
        <v>2031</v>
      </c>
      <c r="M12" s="110">
        <v>7480000</v>
      </c>
      <c r="N12" s="110">
        <v>2287925</v>
      </c>
      <c r="O12" s="19">
        <v>2730000</v>
      </c>
      <c r="P12" s="110">
        <v>5841571</v>
      </c>
      <c r="Q12" s="19">
        <v>450965.11</v>
      </c>
      <c r="R12" s="19">
        <v>96102.5</v>
      </c>
      <c r="S12" s="22">
        <f t="shared" si="2"/>
        <v>13321571</v>
      </c>
    </row>
    <row r="13" spans="2:19">
      <c r="B13" s="115"/>
      <c r="C13" s="117"/>
      <c r="D13" s="80"/>
      <c r="E13" s="80"/>
      <c r="F13" s="116"/>
      <c r="G13" s="79"/>
      <c r="H13" s="80"/>
      <c r="I13" s="80"/>
      <c r="K13" s="15"/>
      <c r="L13" s="76">
        <v>2032</v>
      </c>
      <c r="M13" s="110">
        <v>8270000</v>
      </c>
      <c r="N13" s="110">
        <v>2234896</v>
      </c>
      <c r="O13" s="19">
        <v>2804000</v>
      </c>
      <c r="P13" s="110">
        <v>5545134</v>
      </c>
      <c r="Q13" s="19">
        <v>401729.1</v>
      </c>
      <c r="R13" s="19">
        <v>89940</v>
      </c>
      <c r="S13" s="22">
        <f t="shared" si="2"/>
        <v>13815134</v>
      </c>
    </row>
    <row r="14" spans="2:19" ht="21" customHeight="1">
      <c r="B14" s="117"/>
      <c r="C14" s="114"/>
      <c r="K14" s="15"/>
      <c r="L14" s="76">
        <v>2033</v>
      </c>
      <c r="M14" s="110">
        <v>9055000</v>
      </c>
      <c r="N14" s="110">
        <v>2177529</v>
      </c>
      <c r="O14" s="19">
        <v>2875000</v>
      </c>
      <c r="P14" s="110">
        <v>5208232</v>
      </c>
      <c r="Q14" s="19">
        <v>346777.5</v>
      </c>
      <c r="R14" s="19">
        <v>83352.5</v>
      </c>
      <c r="S14" s="22">
        <f t="shared" si="2"/>
        <v>14263232</v>
      </c>
    </row>
    <row r="15" spans="2:19" ht="20.25" customHeight="1">
      <c r="K15" s="15"/>
      <c r="L15" s="76">
        <v>2034</v>
      </c>
      <c r="M15" s="110">
        <v>9880000</v>
      </c>
      <c r="N15" s="110">
        <v>2115917</v>
      </c>
      <c r="O15" s="19">
        <v>2940000</v>
      </c>
      <c r="P15" s="110">
        <v>4832057</v>
      </c>
      <c r="Q15" s="19">
        <v>289577.5</v>
      </c>
      <c r="R15" s="19">
        <v>76552.5</v>
      </c>
      <c r="S15" s="22">
        <f t="shared" si="2"/>
        <v>14712057</v>
      </c>
    </row>
    <row r="16" spans="2:19">
      <c r="K16" s="15"/>
      <c r="L16" s="76">
        <v>2035</v>
      </c>
      <c r="M16" s="111">
        <v>10895000</v>
      </c>
      <c r="N16" s="111">
        <v>2050240</v>
      </c>
      <c r="O16" s="19">
        <v>2990000</v>
      </c>
      <c r="P16" s="111">
        <v>4413624</v>
      </c>
      <c r="Q16" s="19">
        <v>239165</v>
      </c>
      <c r="R16" s="19">
        <v>69540</v>
      </c>
      <c r="S16" s="22">
        <f t="shared" si="2"/>
        <v>15308624</v>
      </c>
    </row>
    <row r="17" spans="11:19">
      <c r="K17" s="15"/>
      <c r="L17" s="76">
        <v>2036</v>
      </c>
      <c r="M17" s="111">
        <v>11835000</v>
      </c>
      <c r="N17" s="111">
        <v>1982115</v>
      </c>
      <c r="O17" s="19">
        <v>3060000</v>
      </c>
      <c r="P17" s="111">
        <v>3973724</v>
      </c>
      <c r="Q17" s="19">
        <v>191952.5</v>
      </c>
      <c r="R17" s="19">
        <v>62102.5</v>
      </c>
      <c r="S17" s="22">
        <f t="shared" si="2"/>
        <v>15808724</v>
      </c>
    </row>
    <row r="18" spans="11:19">
      <c r="K18" s="15"/>
      <c r="L18" s="76">
        <v>2037</v>
      </c>
      <c r="M18" s="111">
        <v>12805000</v>
      </c>
      <c r="N18" s="111">
        <v>1909632</v>
      </c>
      <c r="O18" s="19">
        <v>3125000</v>
      </c>
      <c r="P18" s="111">
        <v>3411586</v>
      </c>
      <c r="Q18" s="19">
        <v>141202.5</v>
      </c>
      <c r="R18" s="19">
        <v>54452.5</v>
      </c>
      <c r="S18" s="22">
        <f t="shared" si="2"/>
        <v>16216586</v>
      </c>
    </row>
    <row r="19" spans="11:19">
      <c r="K19" s="15"/>
      <c r="L19" s="76">
        <v>2038</v>
      </c>
      <c r="M19" s="111">
        <v>13955000</v>
      </c>
      <c r="N19" s="19">
        <v>1833182</v>
      </c>
      <c r="O19" s="19">
        <v>3255000</v>
      </c>
      <c r="P19" s="111">
        <v>2931373</v>
      </c>
      <c r="Q19" s="19"/>
      <c r="R19" s="19"/>
      <c r="S19" s="22">
        <f t="shared" si="2"/>
        <v>16886373</v>
      </c>
    </row>
    <row r="20" spans="11:19">
      <c r="K20" s="15"/>
      <c r="L20" s="76">
        <v>2039</v>
      </c>
      <c r="M20" s="111">
        <v>14960000</v>
      </c>
      <c r="N20" s="19">
        <v>1736044</v>
      </c>
      <c r="O20" s="19">
        <v>3650000</v>
      </c>
      <c r="P20" s="111">
        <v>2406085</v>
      </c>
      <c r="Q20" s="19"/>
      <c r="R20" s="19"/>
      <c r="S20" s="22">
        <f t="shared" si="2"/>
        <v>17366085</v>
      </c>
    </row>
    <row r="21" spans="11:19">
      <c r="K21" s="15"/>
      <c r="L21" s="76">
        <v>2040</v>
      </c>
      <c r="M21" s="111">
        <v>16030000</v>
      </c>
      <c r="N21" s="19">
        <v>1625581</v>
      </c>
      <c r="O21" s="19">
        <v>3744000</v>
      </c>
      <c r="P21" s="111">
        <v>1841576</v>
      </c>
      <c r="Q21" s="19"/>
      <c r="R21" s="19"/>
      <c r="S21" s="22">
        <f t="shared" si="2"/>
        <v>17871576</v>
      </c>
    </row>
    <row r="22" spans="11:19">
      <c r="K22" s="15"/>
      <c r="L22" s="76">
        <v>2041</v>
      </c>
      <c r="M22" s="111">
        <v>17385000</v>
      </c>
      <c r="N22" s="19">
        <v>1512328</v>
      </c>
      <c r="O22" s="19">
        <v>4025000</v>
      </c>
      <c r="P22" s="111">
        <v>1235247</v>
      </c>
      <c r="Q22" s="19"/>
      <c r="R22" s="19"/>
      <c r="S22" s="22">
        <f t="shared" si="2"/>
        <v>18620247</v>
      </c>
    </row>
    <row r="23" spans="11:19">
      <c r="K23" s="15"/>
      <c r="L23" s="76">
        <v>2042</v>
      </c>
      <c r="M23" s="111">
        <v>10583969</v>
      </c>
      <c r="N23" s="19">
        <v>1389769</v>
      </c>
      <c r="O23" s="19">
        <v>4185000</v>
      </c>
      <c r="P23" s="111">
        <v>8604803</v>
      </c>
      <c r="Q23" s="19"/>
      <c r="R23" s="19"/>
      <c r="S23" s="22">
        <f t="shared" si="2"/>
        <v>19188772</v>
      </c>
    </row>
    <row r="24" spans="11:19">
      <c r="K24" s="15"/>
      <c r="L24" s="76">
        <v>2043</v>
      </c>
      <c r="M24" s="111">
        <v>10602665</v>
      </c>
      <c r="N24" s="19">
        <v>1262140</v>
      </c>
      <c r="O24" s="19">
        <v>4380000</v>
      </c>
      <c r="P24" s="111">
        <v>9165206</v>
      </c>
      <c r="Q24" s="19"/>
      <c r="R24" s="19"/>
      <c r="S24" s="22">
        <f t="shared" si="2"/>
        <v>19767871</v>
      </c>
    </row>
    <row r="25" spans="11:19">
      <c r="K25" s="15"/>
      <c r="L25" s="76">
        <v>2044</v>
      </c>
      <c r="M25" s="111">
        <v>8964858</v>
      </c>
      <c r="N25" s="19">
        <v>1126264</v>
      </c>
      <c r="O25" s="19">
        <v>4649000</v>
      </c>
      <c r="P25" s="111">
        <v>10734142</v>
      </c>
      <c r="Q25" s="19"/>
      <c r="R25" s="19"/>
      <c r="S25" s="22">
        <f t="shared" si="2"/>
        <v>19699000</v>
      </c>
    </row>
    <row r="26" spans="11:19">
      <c r="K26" s="15"/>
      <c r="L26" s="76">
        <v>2045</v>
      </c>
      <c r="M26" s="111">
        <v>8865409</v>
      </c>
      <c r="N26" s="19">
        <v>981474</v>
      </c>
      <c r="O26" s="19">
        <v>4805000</v>
      </c>
      <c r="P26" s="111">
        <v>11440491</v>
      </c>
      <c r="Q26" s="19"/>
      <c r="R26" s="19"/>
      <c r="S26" s="22">
        <f t="shared" si="2"/>
        <v>20305900</v>
      </c>
    </row>
    <row r="27" spans="11:19">
      <c r="K27" s="15"/>
      <c r="L27" s="76">
        <v>2046</v>
      </c>
      <c r="M27" s="111">
        <v>8756327</v>
      </c>
      <c r="N27" s="19">
        <v>831753</v>
      </c>
      <c r="O27" s="19">
        <v>2639000</v>
      </c>
      <c r="P27" s="111">
        <v>12080273</v>
      </c>
      <c r="Q27" s="19"/>
      <c r="R27" s="19"/>
      <c r="S27" s="22">
        <f t="shared" si="2"/>
        <v>20836600</v>
      </c>
    </row>
    <row r="28" spans="11:19">
      <c r="K28" s="15"/>
      <c r="L28" s="76">
        <v>2047</v>
      </c>
      <c r="M28" s="111">
        <v>8793776</v>
      </c>
      <c r="N28" s="19">
        <v>745738</v>
      </c>
      <c r="O28" s="19">
        <v>2728000</v>
      </c>
      <c r="P28" s="111">
        <v>12849024</v>
      </c>
      <c r="Q28" s="19"/>
      <c r="R28" s="19"/>
      <c r="S28" s="22">
        <f t="shared" si="2"/>
        <v>21642800</v>
      </c>
    </row>
    <row r="29" spans="11:19">
      <c r="K29" s="15"/>
      <c r="L29" s="76">
        <v>2048</v>
      </c>
      <c r="M29" s="111">
        <v>8738234</v>
      </c>
      <c r="N29" s="19">
        <v>656808</v>
      </c>
      <c r="O29" s="19">
        <v>2810000</v>
      </c>
      <c r="P29" s="111">
        <v>13483566</v>
      </c>
      <c r="Q29" s="19"/>
      <c r="R29" s="19"/>
      <c r="S29" s="22">
        <f t="shared" si="2"/>
        <v>22221800</v>
      </c>
    </row>
    <row r="30" spans="11:19">
      <c r="K30" s="15"/>
      <c r="L30" s="76">
        <v>2049</v>
      </c>
      <c r="M30" s="111">
        <v>8697930</v>
      </c>
      <c r="N30" s="19">
        <v>551733</v>
      </c>
      <c r="O30" s="19">
        <v>2990000</v>
      </c>
      <c r="P30" s="111">
        <v>14155670</v>
      </c>
      <c r="Q30" s="19"/>
      <c r="R30" s="19"/>
      <c r="S30" s="22">
        <f t="shared" si="2"/>
        <v>22853600</v>
      </c>
    </row>
    <row r="31" spans="11:19">
      <c r="K31" s="15"/>
      <c r="L31" s="76">
        <v>2050</v>
      </c>
      <c r="M31" s="111">
        <v>8729680</v>
      </c>
      <c r="N31" s="19">
        <v>440083</v>
      </c>
      <c r="O31" s="19">
        <v>3205000</v>
      </c>
      <c r="P31" s="217">
        <v>15003320</v>
      </c>
      <c r="Q31" s="19"/>
      <c r="R31" s="19"/>
      <c r="S31" s="22">
        <f t="shared" si="2"/>
        <v>23733000</v>
      </c>
    </row>
    <row r="32" spans="11:19">
      <c r="K32" s="15"/>
      <c r="L32" s="76">
        <v>2051</v>
      </c>
      <c r="M32" s="111">
        <v>7331985</v>
      </c>
      <c r="N32" s="19">
        <v>320633</v>
      </c>
      <c r="O32" s="19">
        <v>3315000</v>
      </c>
      <c r="P32" s="111">
        <v>16343016</v>
      </c>
      <c r="Q32" s="19"/>
      <c r="R32" s="19"/>
      <c r="S32" s="22">
        <f t="shared" si="2"/>
        <v>23675001</v>
      </c>
    </row>
    <row r="33" spans="2:19">
      <c r="K33" s="15"/>
      <c r="L33" s="76">
        <v>2052</v>
      </c>
      <c r="M33" s="111">
        <v>7185315</v>
      </c>
      <c r="N33" s="19">
        <v>197033</v>
      </c>
      <c r="O33" s="19">
        <v>3425000</v>
      </c>
      <c r="P33" s="111">
        <v>17159685</v>
      </c>
      <c r="Q33" s="19"/>
      <c r="R33" s="19"/>
      <c r="S33" s="22">
        <f t="shared" si="2"/>
        <v>24345000</v>
      </c>
    </row>
    <row r="34" spans="2:19">
      <c r="K34" s="15"/>
      <c r="L34" s="76">
        <v>2053</v>
      </c>
      <c r="M34" s="111">
        <v>7109446</v>
      </c>
      <c r="N34" s="19">
        <v>69279</v>
      </c>
      <c r="O34" s="19">
        <v>1979510</v>
      </c>
      <c r="P34" s="111">
        <v>18105554</v>
      </c>
      <c r="Q34" s="19"/>
      <c r="R34" s="19"/>
      <c r="S34" s="22">
        <f t="shared" si="2"/>
        <v>25215000</v>
      </c>
    </row>
    <row r="35" spans="2:19">
      <c r="K35" s="15"/>
      <c r="L35" s="76">
        <v>2054</v>
      </c>
      <c r="M35" s="111">
        <v>6977333</v>
      </c>
      <c r="N35" s="19"/>
      <c r="O35" s="19"/>
      <c r="P35" s="111">
        <v>18932668</v>
      </c>
      <c r="Q35" s="19"/>
      <c r="R35" s="19"/>
      <c r="S35" s="22">
        <f t="shared" si="2"/>
        <v>25910001</v>
      </c>
    </row>
    <row r="36" spans="2:19">
      <c r="K36" s="15"/>
      <c r="L36" s="76">
        <v>2055</v>
      </c>
      <c r="M36" s="111">
        <v>6837360</v>
      </c>
      <c r="N36" s="19"/>
      <c r="O36" s="19"/>
      <c r="P36" s="111">
        <v>19757640</v>
      </c>
      <c r="Q36" s="19"/>
      <c r="R36" s="19"/>
      <c r="S36" s="22">
        <f t="shared" si="2"/>
        <v>26595000</v>
      </c>
    </row>
    <row r="37" spans="2:19">
      <c r="K37" s="15"/>
      <c r="L37" s="76">
        <v>2056</v>
      </c>
      <c r="M37" s="111">
        <v>6725765</v>
      </c>
      <c r="N37" s="19"/>
      <c r="O37" s="19"/>
      <c r="P37" s="111">
        <v>20704232</v>
      </c>
      <c r="Q37" s="19"/>
      <c r="R37" s="19"/>
      <c r="S37" s="22">
        <f t="shared" si="2"/>
        <v>27429997</v>
      </c>
    </row>
    <row r="38" spans="2:19">
      <c r="K38" s="15"/>
      <c r="L38" s="76"/>
      <c r="M38" s="111"/>
      <c r="N38" s="19"/>
      <c r="O38" s="19"/>
      <c r="P38" s="111"/>
      <c r="Q38" s="19"/>
      <c r="R38" s="19"/>
      <c r="S38" s="22"/>
    </row>
    <row r="39" spans="2:19">
      <c r="K39" s="15"/>
      <c r="L39" s="76"/>
      <c r="M39" s="111"/>
      <c r="N39" s="19"/>
      <c r="O39" s="19"/>
      <c r="P39" s="111"/>
      <c r="Q39" s="19"/>
      <c r="R39" s="19"/>
      <c r="S39" s="22"/>
    </row>
    <row r="40" spans="2:19">
      <c r="K40" s="15"/>
      <c r="L40" s="216"/>
      <c r="M40" s="185"/>
      <c r="N40" s="19"/>
      <c r="O40" s="19"/>
      <c r="P40" s="185"/>
      <c r="Q40" s="19"/>
      <c r="R40" s="19"/>
      <c r="S40" s="19"/>
    </row>
    <row r="41" spans="2:19">
      <c r="K41" s="15"/>
    </row>
    <row r="42" spans="2:19">
      <c r="K42" s="15"/>
      <c r="L42" s="84" t="s">
        <v>42</v>
      </c>
      <c r="M42" s="85">
        <f>SUM(M4:M37)</f>
        <v>283230052</v>
      </c>
      <c r="N42" s="85">
        <f t="shared" ref="N42:R42" si="3">SUM(N4:N35)</f>
        <v>47246604</v>
      </c>
      <c r="O42" s="85">
        <f t="shared" si="3"/>
        <v>93242510</v>
      </c>
      <c r="P42" s="85">
        <f>SUM(P4:P37)</f>
        <v>310790382</v>
      </c>
      <c r="Q42" s="85">
        <f t="shared" si="3"/>
        <v>8561247.1600000001</v>
      </c>
      <c r="R42" s="85">
        <f t="shared" si="3"/>
        <v>1350085</v>
      </c>
      <c r="S42" s="85">
        <f>SUM(S4:S37)</f>
        <v>594020434</v>
      </c>
    </row>
    <row r="43" spans="2:19">
      <c r="K43" s="15"/>
    </row>
    <row r="44" spans="2:19" ht="7.5" customHeight="1">
      <c r="B44" s="16"/>
      <c r="C44" s="15"/>
      <c r="D44" s="15"/>
      <c r="E44" s="15"/>
      <c r="F44" s="15"/>
      <c r="K44" s="15"/>
    </row>
    <row r="45" spans="2:19">
      <c r="B45" s="23"/>
      <c r="C45" s="15"/>
      <c r="D45" s="15"/>
      <c r="E45" s="15"/>
      <c r="F45" s="15"/>
      <c r="K45" s="15"/>
    </row>
    <row r="46" spans="2:19">
      <c r="B46" s="16"/>
      <c r="C46" s="15"/>
      <c r="D46" s="15"/>
      <c r="E46" s="15"/>
      <c r="F46" s="15"/>
      <c r="K46" s="15"/>
    </row>
    <row r="47" spans="2:19">
      <c r="K47"/>
      <c r="L47"/>
      <c r="M47"/>
      <c r="N47"/>
      <c r="O47"/>
      <c r="P47"/>
      <c r="Q47"/>
      <c r="R47"/>
      <c r="S47"/>
    </row>
    <row r="48" spans="2:19">
      <c r="K48"/>
      <c r="L48"/>
      <c r="M48"/>
      <c r="N48"/>
      <c r="O48"/>
      <c r="P48"/>
      <c r="Q48"/>
      <c r="R48"/>
      <c r="S48"/>
    </row>
    <row r="49" spans="2:31">
      <c r="K49"/>
      <c r="L49"/>
      <c r="M49"/>
      <c r="N49"/>
      <c r="O49"/>
      <c r="P49"/>
      <c r="Q49"/>
      <c r="R49"/>
      <c r="S49"/>
    </row>
    <row r="50" spans="2:31">
      <c r="K50"/>
      <c r="L50"/>
      <c r="M50"/>
      <c r="N50"/>
      <c r="O50"/>
      <c r="P50"/>
      <c r="Q50"/>
      <c r="R50"/>
      <c r="S50"/>
    </row>
    <row r="51" spans="2:31">
      <c r="K51"/>
      <c r="L51"/>
      <c r="M51"/>
      <c r="N51"/>
      <c r="O51"/>
      <c r="P51"/>
      <c r="Q51"/>
      <c r="R51"/>
      <c r="S51"/>
      <c r="T51" s="21"/>
    </row>
    <row r="52" spans="2:31">
      <c r="K52" s="15"/>
    </row>
    <row r="53" spans="2:31">
      <c r="K53" s="15"/>
    </row>
    <row r="54" spans="2:31">
      <c r="F54" s="15"/>
      <c r="K54" s="15"/>
    </row>
    <row r="55" spans="2:31">
      <c r="F55" s="15"/>
      <c r="K55" s="15"/>
    </row>
    <row r="56" spans="2:31">
      <c r="B56" s="113"/>
      <c r="F56" s="15"/>
      <c r="K56" s="15"/>
    </row>
    <row r="57" spans="2:31">
      <c r="F57" s="15"/>
      <c r="K57" s="15"/>
    </row>
    <row r="58" spans="2:31">
      <c r="F58" s="15"/>
      <c r="K58" s="15"/>
    </row>
    <row r="59" spans="2:31">
      <c r="F59" s="15"/>
      <c r="G59" s="15"/>
      <c r="H59" s="15"/>
      <c r="I59" s="15"/>
      <c r="J59" s="15"/>
      <c r="K59" s="15"/>
    </row>
    <row r="60" spans="2:31">
      <c r="B60" s="15"/>
      <c r="C60" s="15"/>
      <c r="D60" s="15"/>
      <c r="E60" s="15"/>
      <c r="F60" s="15"/>
      <c r="G60" s="15"/>
      <c r="H60" s="15"/>
      <c r="I60" s="15"/>
      <c r="J60" s="15"/>
      <c r="K60" s="15"/>
      <c r="L60" s="15"/>
      <c r="M60" s="15"/>
      <c r="N60" s="15"/>
      <c r="O60" s="15"/>
      <c r="P60" s="15"/>
      <c r="Q60" s="15"/>
      <c r="R60" s="15"/>
      <c r="S60" s="15"/>
      <c r="T60" s="15"/>
      <c r="U60" s="15"/>
      <c r="V60" s="15"/>
      <c r="W60" s="15"/>
    </row>
    <row r="61" spans="2:31">
      <c r="B61" s="15"/>
      <c r="C61" s="15"/>
      <c r="D61" s="15"/>
      <c r="E61" s="15"/>
      <c r="F61" s="15"/>
      <c r="G61" s="15"/>
      <c r="H61" s="15"/>
      <c r="I61" s="15"/>
      <c r="J61" s="15"/>
      <c r="K61" s="15"/>
      <c r="L61" s="15"/>
      <c r="M61" s="15"/>
      <c r="N61" s="15"/>
      <c r="O61" s="15"/>
      <c r="P61" s="15"/>
      <c r="Q61" s="15"/>
      <c r="R61" s="15"/>
      <c r="S61" s="15"/>
      <c r="T61" s="15"/>
      <c r="U61" s="15"/>
      <c r="V61" s="15"/>
      <c r="W61" s="15"/>
    </row>
    <row r="62" spans="2:31">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row>
    <row r="63" spans="2:31">
      <c r="B63" s="15"/>
      <c r="C63" s="15"/>
      <c r="D63" s="15"/>
      <c r="E63" s="15"/>
      <c r="F63" s="15"/>
      <c r="G63" s="15"/>
      <c r="H63" s="15"/>
      <c r="I63" s="15"/>
      <c r="J63" s="15"/>
      <c r="K63" s="15"/>
      <c r="S63" s="15"/>
      <c r="T63" s="15"/>
      <c r="AA63" s="15"/>
      <c r="AB63" s="15"/>
    </row>
    <row r="64" spans="2:31">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row>
    <row r="65" spans="2:31">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row>
    <row r="66" spans="2:31">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row>
    <row r="67" spans="2:31">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row>
    <row r="68" spans="2:31">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row>
    <row r="69" spans="2:31">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row>
    <row r="70" spans="2:31">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row>
    <row r="71" spans="2:31">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row>
    <row r="72" spans="2:31">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row>
    <row r="73" spans="2:31">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row>
    <row r="74" spans="2:31">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row>
    <row r="75" spans="2:31">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row>
    <row r="76" spans="2:31">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row>
    <row r="77" spans="2:31">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row>
    <row r="78" spans="2:31">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row>
    <row r="79" spans="2:31">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row>
    <row r="80" spans="2:31">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row>
    <row r="81" spans="2:31">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row>
    <row r="82" spans="2:31">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row>
    <row r="83" spans="2:31">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row>
    <row r="84" spans="2:31">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row>
    <row r="85" spans="2:31">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row>
    <row r="86" spans="2:31">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row>
    <row r="87" spans="2:31">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row>
    <row r="88" spans="2:31">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row>
  </sheetData>
  <mergeCells count="2">
    <mergeCell ref="L1:S1"/>
    <mergeCell ref="L2:S2"/>
  </mergeCells>
  <pageMargins left="0.7" right="0.7" top="0.75" bottom="0.75" header="0.3" footer="0.3"/>
  <pageSetup scale="46" pageOrder="overThenDown" orientation="landscape"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26"/>
  <sheetViews>
    <sheetView topLeftCell="A68" zoomScaleNormal="100" workbookViewId="0">
      <selection activeCell="B2" sqref="B2:I2"/>
    </sheetView>
  </sheetViews>
  <sheetFormatPr defaultColWidth="9.140625" defaultRowHeight="15"/>
  <cols>
    <col min="1" max="1" width="9.140625" style="14"/>
    <col min="2" max="2" width="5.85546875" style="48" customWidth="1"/>
    <col min="3" max="3" width="7" style="48" bestFit="1" customWidth="1"/>
    <col min="4" max="4" width="18.42578125" style="48" bestFit="1" customWidth="1"/>
    <col min="5" max="5" width="9.7109375" style="48" customWidth="1"/>
    <col min="6" max="6" width="10.5703125" style="48" hidden="1" customWidth="1"/>
    <col min="7" max="7" width="17" style="48" bestFit="1" customWidth="1"/>
    <col min="8" max="8" width="16.28515625" style="48" bestFit="1" customWidth="1"/>
    <col min="9" max="9" width="16.85546875" style="48" bestFit="1" customWidth="1"/>
    <col min="10" max="16384" width="9.140625" style="14"/>
  </cols>
  <sheetData>
    <row r="2" spans="2:9">
      <c r="B2" s="234" t="s">
        <v>34</v>
      </c>
      <c r="C2" s="234"/>
      <c r="D2" s="234"/>
      <c r="E2" s="234"/>
      <c r="F2" s="234"/>
      <c r="G2" s="234"/>
      <c r="H2" s="234"/>
      <c r="I2" s="234"/>
    </row>
    <row r="3" spans="2:9">
      <c r="B3" s="234" t="s">
        <v>23</v>
      </c>
      <c r="C3" s="234"/>
      <c r="D3" s="234"/>
      <c r="E3" s="234"/>
      <c r="F3" s="234"/>
      <c r="G3" s="234"/>
      <c r="H3" s="234"/>
      <c r="I3" s="234"/>
    </row>
    <row r="4" spans="2:9">
      <c r="B4" s="234" t="s">
        <v>52</v>
      </c>
      <c r="C4" s="234"/>
      <c r="D4" s="234"/>
      <c r="E4" s="234"/>
      <c r="F4" s="234"/>
      <c r="G4" s="234"/>
      <c r="H4" s="234"/>
      <c r="I4" s="234"/>
    </row>
    <row r="5" spans="2:9">
      <c r="B5" s="234" t="s">
        <v>53</v>
      </c>
      <c r="C5" s="234"/>
      <c r="D5" s="234"/>
      <c r="E5" s="234"/>
      <c r="F5" s="234"/>
      <c r="G5" s="234"/>
      <c r="H5" s="234"/>
      <c r="I5" s="234"/>
    </row>
    <row r="6" spans="2:9">
      <c r="B6" s="60" t="s">
        <v>50</v>
      </c>
      <c r="C6" s="49"/>
      <c r="D6" s="49"/>
      <c r="E6" s="49"/>
      <c r="F6" s="49"/>
      <c r="G6" s="49"/>
      <c r="H6" s="49"/>
      <c r="I6" s="49"/>
    </row>
    <row r="7" spans="2:9">
      <c r="B7" s="60" t="s">
        <v>51</v>
      </c>
      <c r="C7" s="61"/>
      <c r="D7" s="61"/>
      <c r="E7" s="61"/>
      <c r="F7" s="61"/>
      <c r="G7" s="61"/>
      <c r="H7" s="61"/>
      <c r="I7" s="61"/>
    </row>
    <row r="8" spans="2:9">
      <c r="B8" s="53"/>
      <c r="C8" s="54"/>
      <c r="D8" s="50"/>
      <c r="E8" s="51"/>
      <c r="F8" s="52" t="s">
        <v>15</v>
      </c>
      <c r="G8" s="50"/>
      <c r="H8" s="50"/>
      <c r="I8" s="50"/>
    </row>
    <row r="9" spans="2:9">
      <c r="B9" s="235" t="s">
        <v>19</v>
      </c>
      <c r="C9" s="235"/>
      <c r="D9" s="55" t="s">
        <v>14</v>
      </c>
      <c r="E9" s="56" t="s">
        <v>20</v>
      </c>
      <c r="F9" s="55" t="s">
        <v>21</v>
      </c>
      <c r="G9" s="55" t="s">
        <v>15</v>
      </c>
      <c r="H9" s="55" t="s">
        <v>16</v>
      </c>
      <c r="I9" s="55" t="s">
        <v>22</v>
      </c>
    </row>
    <row r="10" spans="2:9">
      <c r="B10" s="62"/>
      <c r="C10" s="43"/>
      <c r="D10" s="155"/>
      <c r="E10" s="109"/>
      <c r="F10" s="86"/>
      <c r="G10" s="155"/>
      <c r="H10" s="181"/>
      <c r="I10" s="155"/>
    </row>
    <row r="11" spans="2:9">
      <c r="B11" s="62" t="s">
        <v>48</v>
      </c>
      <c r="C11" s="43">
        <v>2023</v>
      </c>
      <c r="D11" s="153"/>
      <c r="E11" s="109"/>
      <c r="F11" s="86">
        <f>ROUND(+D11*E11/2,2)</f>
        <v>0</v>
      </c>
      <c r="G11" s="155">
        <v>35625</v>
      </c>
      <c r="H11" s="155">
        <f t="shared" ref="H11" si="0">+G11+D11</f>
        <v>35625</v>
      </c>
      <c r="I11" s="155"/>
    </row>
    <row r="12" spans="2:9">
      <c r="B12" s="62" t="s">
        <v>49</v>
      </c>
      <c r="D12" s="155">
        <v>1425000</v>
      </c>
      <c r="E12" s="109">
        <v>0.05</v>
      </c>
      <c r="F12" s="86"/>
      <c r="G12" s="155">
        <f>+G11-F11</f>
        <v>35625</v>
      </c>
      <c r="H12" s="155">
        <f>+G12+D12</f>
        <v>1460625</v>
      </c>
      <c r="I12" s="155">
        <f>H11+H12</f>
        <v>1496250</v>
      </c>
    </row>
    <row r="13" spans="2:9" ht="6.75" customHeight="1">
      <c r="B13" s="62"/>
      <c r="C13" s="41"/>
      <c r="D13" s="154"/>
      <c r="E13" s="42"/>
      <c r="F13" s="44"/>
      <c r="G13" s="154"/>
      <c r="H13" s="154"/>
      <c r="I13" s="154"/>
    </row>
    <row r="14" spans="2:9" ht="6.75" customHeight="1">
      <c r="B14" s="62"/>
      <c r="C14" s="41"/>
      <c r="D14" s="156"/>
      <c r="E14" s="42"/>
      <c r="F14" s="46"/>
      <c r="G14" s="156"/>
      <c r="H14" s="156"/>
      <c r="I14" s="156"/>
    </row>
    <row r="15" spans="2:9">
      <c r="B15" s="45"/>
      <c r="C15" s="45"/>
      <c r="D15" s="182">
        <f>SUM(D10:D13)</f>
        <v>1425000</v>
      </c>
      <c r="E15" s="89"/>
      <c r="F15" s="88">
        <f>SUM(F10:F13)</f>
        <v>0</v>
      </c>
      <c r="G15" s="182">
        <f>SUM(G10:G13)</f>
        <v>71250</v>
      </c>
      <c r="H15" s="182">
        <f>SUM(H10:H13)</f>
        <v>1496250</v>
      </c>
      <c r="I15" s="182">
        <f>SUM(I10:I13)</f>
        <v>1496250</v>
      </c>
    </row>
    <row r="16" spans="2:9">
      <c r="B16" s="45"/>
      <c r="C16" s="45"/>
      <c r="D16" s="46"/>
      <c r="E16" s="47"/>
      <c r="F16" s="46"/>
      <c r="G16" s="46"/>
      <c r="H16" s="46"/>
      <c r="I16" s="46"/>
    </row>
    <row r="17" spans="2:9">
      <c r="B17" s="64" t="s">
        <v>24</v>
      </c>
      <c r="C17" s="25"/>
      <c r="D17" s="25"/>
      <c r="E17" s="65"/>
      <c r="F17" s="66"/>
      <c r="G17" s="65">
        <v>61600000</v>
      </c>
      <c r="H17" s="66"/>
      <c r="I17" s="67"/>
    </row>
    <row r="18" spans="2:9">
      <c r="B18" s="68" t="s">
        <v>25</v>
      </c>
      <c r="C18" s="60"/>
      <c r="D18" s="14"/>
      <c r="E18" s="57"/>
      <c r="F18" s="58"/>
      <c r="G18" s="63">
        <f>G17-G19</f>
        <v>61600000</v>
      </c>
      <c r="H18" s="58"/>
      <c r="I18" s="69"/>
    </row>
    <row r="19" spans="2:9">
      <c r="B19" s="70" t="s">
        <v>26</v>
      </c>
      <c r="C19" s="71"/>
      <c r="D19" s="24"/>
      <c r="E19" s="72"/>
      <c r="F19" s="59"/>
      <c r="G19" s="73">
        <v>0</v>
      </c>
      <c r="H19" s="59"/>
      <c r="I19" s="74"/>
    </row>
    <row r="20" spans="2:9">
      <c r="B20" s="75"/>
      <c r="C20" s="60"/>
      <c r="D20" s="14"/>
      <c r="E20" s="57"/>
      <c r="F20" s="58"/>
      <c r="G20" s="63"/>
      <c r="H20" s="58"/>
      <c r="I20" s="58"/>
    </row>
    <row r="22" spans="2:9">
      <c r="B22" s="75"/>
      <c r="C22" s="60"/>
      <c r="D22" s="14"/>
      <c r="E22" s="57"/>
      <c r="F22" s="58"/>
      <c r="G22" s="63"/>
      <c r="H22" s="58"/>
      <c r="I22" s="58"/>
    </row>
    <row r="23" spans="2:9">
      <c r="B23" s="75"/>
      <c r="C23" s="60"/>
      <c r="D23" s="14"/>
      <c r="E23" s="57"/>
      <c r="F23" s="58"/>
      <c r="G23" s="63"/>
      <c r="H23" s="58"/>
      <c r="I23" s="58"/>
    </row>
    <row r="25" spans="2:9">
      <c r="B25" s="234" t="s">
        <v>34</v>
      </c>
      <c r="C25" s="234"/>
      <c r="D25" s="234"/>
      <c r="E25" s="234"/>
      <c r="F25" s="234"/>
      <c r="G25" s="234"/>
      <c r="H25" s="234"/>
      <c r="I25" s="234"/>
    </row>
    <row r="26" spans="2:9">
      <c r="B26" s="234" t="s">
        <v>23</v>
      </c>
      <c r="C26" s="234"/>
      <c r="D26" s="234"/>
      <c r="E26" s="234"/>
      <c r="F26" s="234"/>
      <c r="G26" s="234"/>
      <c r="H26" s="234"/>
      <c r="I26" s="234"/>
    </row>
    <row r="27" spans="2:9">
      <c r="B27" s="234" t="s">
        <v>66</v>
      </c>
      <c r="C27" s="234"/>
      <c r="D27" s="234"/>
      <c r="E27" s="234"/>
      <c r="F27" s="234"/>
      <c r="G27" s="234"/>
      <c r="H27" s="234"/>
      <c r="I27" s="234"/>
    </row>
    <row r="28" spans="2:9">
      <c r="B28" s="234" t="s">
        <v>67</v>
      </c>
      <c r="C28" s="234"/>
      <c r="D28" s="234"/>
      <c r="E28" s="234"/>
      <c r="F28" s="234"/>
      <c r="G28" s="234"/>
      <c r="H28" s="234"/>
      <c r="I28" s="234"/>
    </row>
    <row r="29" spans="2:9">
      <c r="B29" s="60" t="s">
        <v>77</v>
      </c>
      <c r="C29" s="49"/>
      <c r="D29" s="49"/>
      <c r="E29" s="49"/>
      <c r="F29" s="49"/>
      <c r="G29" s="49"/>
      <c r="H29" s="49"/>
      <c r="I29" s="49"/>
    </row>
    <row r="30" spans="2:9">
      <c r="B30" s="60" t="s">
        <v>78</v>
      </c>
      <c r="C30" s="61"/>
      <c r="D30" s="61"/>
      <c r="E30" s="61"/>
      <c r="F30" s="61"/>
      <c r="G30" s="61"/>
      <c r="H30" s="61"/>
      <c r="I30" s="61"/>
    </row>
    <row r="31" spans="2:9">
      <c r="B31" s="53"/>
      <c r="C31" s="54"/>
      <c r="D31" s="50"/>
      <c r="E31" s="51"/>
      <c r="F31" s="52" t="s">
        <v>15</v>
      </c>
      <c r="G31" s="50"/>
      <c r="H31" s="50"/>
      <c r="I31" s="50"/>
    </row>
    <row r="32" spans="2:9">
      <c r="B32" s="235" t="s">
        <v>19</v>
      </c>
      <c r="C32" s="235"/>
      <c r="D32" s="55" t="s">
        <v>14</v>
      </c>
      <c r="E32" s="56" t="s">
        <v>20</v>
      </c>
      <c r="F32" s="55" t="s">
        <v>21</v>
      </c>
      <c r="G32" s="55" t="s">
        <v>15</v>
      </c>
      <c r="H32" s="55" t="s">
        <v>16</v>
      </c>
      <c r="I32" s="55" t="s">
        <v>22</v>
      </c>
    </row>
    <row r="33" spans="2:9">
      <c r="B33" s="62"/>
      <c r="C33" s="43"/>
      <c r="D33" s="86"/>
      <c r="E33" s="109"/>
      <c r="F33" s="86">
        <f t="shared" ref="F33" si="1">ROUND(+D33*E33/2,2)</f>
        <v>0</v>
      </c>
      <c r="G33" s="86"/>
      <c r="H33" s="86"/>
      <c r="I33" s="86"/>
    </row>
    <row r="34" spans="2:9">
      <c r="B34" s="62" t="s">
        <v>48</v>
      </c>
      <c r="C34" s="43"/>
      <c r="D34" s="86"/>
      <c r="E34" s="109"/>
      <c r="F34" s="86"/>
      <c r="G34" s="155">
        <v>184500</v>
      </c>
      <c r="H34" s="155">
        <f t="shared" ref="H34:H89" si="2">+G34+D34</f>
        <v>184500</v>
      </c>
      <c r="I34" s="155"/>
    </row>
    <row r="35" spans="2:9">
      <c r="B35" s="62" t="s">
        <v>49</v>
      </c>
      <c r="C35" s="43">
        <v>2023</v>
      </c>
      <c r="D35" s="86"/>
      <c r="E35" s="109"/>
      <c r="F35" s="86"/>
      <c r="G35" s="155">
        <f t="shared" ref="G35:G77" si="3">+G34-F34</f>
        <v>184500</v>
      </c>
      <c r="H35" s="155">
        <f t="shared" si="2"/>
        <v>184500</v>
      </c>
      <c r="I35" s="155">
        <f>H34+H35</f>
        <v>369000</v>
      </c>
    </row>
    <row r="36" spans="2:9">
      <c r="B36" s="62" t="s">
        <v>48</v>
      </c>
      <c r="D36" s="87"/>
      <c r="E36" s="109"/>
      <c r="F36" s="86">
        <f t="shared" ref="F36" si="4">ROUND(+D36*E36/2,2)</f>
        <v>0</v>
      </c>
      <c r="G36" s="155">
        <v>184500</v>
      </c>
      <c r="H36" s="155">
        <f t="shared" si="2"/>
        <v>184500</v>
      </c>
      <c r="I36" s="155"/>
    </row>
    <row r="37" spans="2:9">
      <c r="B37" s="62" t="s">
        <v>49</v>
      </c>
      <c r="C37" s="43">
        <v>2024</v>
      </c>
      <c r="D37" s="86"/>
      <c r="E37" s="109">
        <v>0.03</v>
      </c>
      <c r="F37" s="86"/>
      <c r="G37" s="155">
        <f>+G36-F36</f>
        <v>184500</v>
      </c>
      <c r="H37" s="155">
        <f t="shared" si="2"/>
        <v>184500</v>
      </c>
      <c r="I37" s="155">
        <f>H36+H37</f>
        <v>369000</v>
      </c>
    </row>
    <row r="38" spans="2:9">
      <c r="B38" s="62" t="s">
        <v>48</v>
      </c>
      <c r="D38" s="87"/>
      <c r="E38" s="109"/>
      <c r="F38" s="86">
        <f>ROUND(+D38*E38/2,2)</f>
        <v>0</v>
      </c>
      <c r="G38" s="155">
        <f t="shared" si="3"/>
        <v>184500</v>
      </c>
      <c r="H38" s="155">
        <f t="shared" si="2"/>
        <v>184500</v>
      </c>
      <c r="I38" s="155"/>
    </row>
    <row r="39" spans="2:9">
      <c r="B39" s="62" t="s">
        <v>49</v>
      </c>
      <c r="C39" s="43">
        <v>2025</v>
      </c>
      <c r="D39" s="86"/>
      <c r="E39" s="109">
        <v>0.03</v>
      </c>
      <c r="F39" s="86"/>
      <c r="G39" s="155">
        <f t="shared" si="3"/>
        <v>184500</v>
      </c>
      <c r="H39" s="155">
        <f t="shared" si="2"/>
        <v>184500</v>
      </c>
      <c r="I39" s="155">
        <f>H38+H39</f>
        <v>369000</v>
      </c>
    </row>
    <row r="40" spans="2:9">
      <c r="B40" s="62" t="s">
        <v>48</v>
      </c>
      <c r="D40" s="87"/>
      <c r="E40" s="109"/>
      <c r="F40" s="86">
        <f>ROUND(+D40*E40/2,2)</f>
        <v>0</v>
      </c>
      <c r="G40" s="155">
        <f t="shared" si="3"/>
        <v>184500</v>
      </c>
      <c r="H40" s="155">
        <f t="shared" si="2"/>
        <v>184500</v>
      </c>
      <c r="I40" s="155"/>
    </row>
    <row r="41" spans="2:9">
      <c r="B41" s="62" t="s">
        <v>49</v>
      </c>
      <c r="C41" s="43">
        <v>2026</v>
      </c>
      <c r="D41" s="86"/>
      <c r="E41" s="109">
        <v>0.03</v>
      </c>
      <c r="F41" s="86"/>
      <c r="G41" s="155">
        <f t="shared" si="3"/>
        <v>184500</v>
      </c>
      <c r="H41" s="155">
        <f t="shared" si="2"/>
        <v>184500</v>
      </c>
      <c r="I41" s="155">
        <f>H40+H41</f>
        <v>369000</v>
      </c>
    </row>
    <row r="42" spans="2:9">
      <c r="B42" s="62" t="s">
        <v>48</v>
      </c>
      <c r="D42" s="87"/>
      <c r="E42" s="109"/>
      <c r="F42" s="86">
        <f>ROUND(+D42*E42/2,2)</f>
        <v>0</v>
      </c>
      <c r="G42" s="155">
        <f t="shared" si="3"/>
        <v>184500</v>
      </c>
      <c r="H42" s="155">
        <f t="shared" si="2"/>
        <v>184500</v>
      </c>
      <c r="I42" s="155"/>
    </row>
    <row r="43" spans="2:9">
      <c r="B43" s="62" t="s">
        <v>49</v>
      </c>
      <c r="C43" s="43">
        <v>2027</v>
      </c>
      <c r="D43" s="86"/>
      <c r="E43" s="109">
        <v>0.03</v>
      </c>
      <c r="F43" s="86"/>
      <c r="G43" s="155">
        <f t="shared" si="3"/>
        <v>184500</v>
      </c>
      <c r="H43" s="155">
        <f t="shared" si="2"/>
        <v>184500</v>
      </c>
      <c r="I43" s="155">
        <f>H42+H43</f>
        <v>369000</v>
      </c>
    </row>
    <row r="44" spans="2:9">
      <c r="B44" s="62" t="s">
        <v>48</v>
      </c>
      <c r="D44" s="87"/>
      <c r="E44" s="109"/>
      <c r="F44" s="86">
        <f>ROUND(+D44*E44/2,2)</f>
        <v>0</v>
      </c>
      <c r="G44" s="155">
        <f t="shared" si="3"/>
        <v>184500</v>
      </c>
      <c r="H44" s="155">
        <f t="shared" si="2"/>
        <v>184500</v>
      </c>
      <c r="I44" s="155"/>
    </row>
    <row r="45" spans="2:9">
      <c r="B45" s="62" t="s">
        <v>49</v>
      </c>
      <c r="C45" s="43">
        <v>2028</v>
      </c>
      <c r="D45" s="86"/>
      <c r="E45" s="109">
        <v>0.03</v>
      </c>
      <c r="F45" s="86"/>
      <c r="G45" s="155">
        <f t="shared" si="3"/>
        <v>184500</v>
      </c>
      <c r="H45" s="155">
        <f t="shared" si="2"/>
        <v>184500</v>
      </c>
      <c r="I45" s="155">
        <f>H44+H45</f>
        <v>369000</v>
      </c>
    </row>
    <row r="46" spans="2:9">
      <c r="B46" s="62" t="s">
        <v>48</v>
      </c>
      <c r="D46" s="87"/>
      <c r="E46" s="109"/>
      <c r="F46" s="86">
        <f>ROUND(+D46*E46/2,2)</f>
        <v>0</v>
      </c>
      <c r="G46" s="155">
        <f t="shared" si="3"/>
        <v>184500</v>
      </c>
      <c r="H46" s="155">
        <f t="shared" si="2"/>
        <v>184500</v>
      </c>
      <c r="I46" s="155"/>
    </row>
    <row r="47" spans="2:9">
      <c r="B47" s="62" t="s">
        <v>49</v>
      </c>
      <c r="C47" s="43">
        <v>2029</v>
      </c>
      <c r="D47" s="86"/>
      <c r="E47" s="109">
        <v>0.03</v>
      </c>
      <c r="F47" s="86"/>
      <c r="G47" s="155">
        <f t="shared" si="3"/>
        <v>184500</v>
      </c>
      <c r="H47" s="155">
        <f t="shared" si="2"/>
        <v>184500</v>
      </c>
      <c r="I47" s="155">
        <f>H46+H47</f>
        <v>369000</v>
      </c>
    </row>
    <row r="48" spans="2:9">
      <c r="B48" s="62" t="s">
        <v>48</v>
      </c>
      <c r="D48" s="87"/>
      <c r="E48" s="109"/>
      <c r="F48" s="86">
        <f>ROUND(+D48*E48/2,2)</f>
        <v>0</v>
      </c>
      <c r="G48" s="155">
        <f t="shared" si="3"/>
        <v>184500</v>
      </c>
      <c r="H48" s="155">
        <f t="shared" si="2"/>
        <v>184500</v>
      </c>
      <c r="I48" s="155"/>
    </row>
    <row r="49" spans="2:9">
      <c r="B49" s="62" t="s">
        <v>49</v>
      </c>
      <c r="C49" s="43">
        <v>2030</v>
      </c>
      <c r="D49" s="86"/>
      <c r="E49" s="109">
        <v>0.03</v>
      </c>
      <c r="F49" s="86"/>
      <c r="G49" s="155">
        <f t="shared" si="3"/>
        <v>184500</v>
      </c>
      <c r="H49" s="155">
        <f t="shared" si="2"/>
        <v>184500</v>
      </c>
      <c r="I49" s="155">
        <f>H48+H49</f>
        <v>369000</v>
      </c>
    </row>
    <row r="50" spans="2:9">
      <c r="B50" s="62" t="s">
        <v>48</v>
      </c>
      <c r="D50" s="87"/>
      <c r="E50" s="109"/>
      <c r="F50" s="86">
        <f>ROUND(+D50*E50/2,2)</f>
        <v>0</v>
      </c>
      <c r="G50" s="155">
        <f t="shared" si="3"/>
        <v>184500</v>
      </c>
      <c r="H50" s="155">
        <f t="shared" si="2"/>
        <v>184500</v>
      </c>
      <c r="I50" s="155"/>
    </row>
    <row r="51" spans="2:9">
      <c r="B51" s="62" t="s">
        <v>49</v>
      </c>
      <c r="C51" s="43">
        <v>2031</v>
      </c>
      <c r="D51" s="86"/>
      <c r="E51" s="109">
        <v>0.03</v>
      </c>
      <c r="F51" s="86"/>
      <c r="G51" s="155">
        <f t="shared" si="3"/>
        <v>184500</v>
      </c>
      <c r="H51" s="155">
        <f t="shared" si="2"/>
        <v>184500</v>
      </c>
      <c r="I51" s="155">
        <f>H50+H51</f>
        <v>369000</v>
      </c>
    </row>
    <row r="52" spans="2:9">
      <c r="B52" s="62" t="s">
        <v>48</v>
      </c>
      <c r="D52" s="87"/>
      <c r="E52" s="109"/>
      <c r="F52" s="86">
        <f>ROUND(+D52*E52/2,2)</f>
        <v>0</v>
      </c>
      <c r="G52" s="155">
        <f t="shared" si="3"/>
        <v>184500</v>
      </c>
      <c r="H52" s="155">
        <f t="shared" si="2"/>
        <v>184500</v>
      </c>
      <c r="I52" s="155"/>
    </row>
    <row r="53" spans="2:9">
      <c r="B53" s="62" t="s">
        <v>49</v>
      </c>
      <c r="C53" s="43">
        <v>2032</v>
      </c>
      <c r="D53" s="86"/>
      <c r="E53" s="109">
        <v>0.03</v>
      </c>
      <c r="F53" s="86"/>
      <c r="G53" s="155">
        <f t="shared" si="3"/>
        <v>184500</v>
      </c>
      <c r="H53" s="155">
        <f t="shared" si="2"/>
        <v>184500</v>
      </c>
      <c r="I53" s="155">
        <f>H52+H53</f>
        <v>369000</v>
      </c>
    </row>
    <row r="54" spans="2:9">
      <c r="B54" s="62" t="s">
        <v>48</v>
      </c>
      <c r="D54" s="87"/>
      <c r="E54" s="109"/>
      <c r="F54" s="86">
        <f>ROUND(+D54*E54/2,2)</f>
        <v>0</v>
      </c>
      <c r="G54" s="155">
        <f t="shared" si="3"/>
        <v>184500</v>
      </c>
      <c r="H54" s="155">
        <f t="shared" si="2"/>
        <v>184500</v>
      </c>
      <c r="I54" s="155"/>
    </row>
    <row r="55" spans="2:9">
      <c r="B55" s="62" t="s">
        <v>49</v>
      </c>
      <c r="C55" s="43">
        <v>2033</v>
      </c>
      <c r="D55" s="86"/>
      <c r="E55" s="109">
        <v>0.03</v>
      </c>
      <c r="F55" s="86"/>
      <c r="G55" s="155">
        <f t="shared" si="3"/>
        <v>184500</v>
      </c>
      <c r="H55" s="155">
        <f t="shared" si="2"/>
        <v>184500</v>
      </c>
      <c r="I55" s="155">
        <f>H54+H55</f>
        <v>369000</v>
      </c>
    </row>
    <row r="56" spans="2:9">
      <c r="B56" s="62" t="s">
        <v>48</v>
      </c>
      <c r="D56" s="87"/>
      <c r="E56" s="109"/>
      <c r="F56" s="86">
        <f>ROUND(+D56*E56/2,2)</f>
        <v>0</v>
      </c>
      <c r="G56" s="155">
        <f t="shared" si="3"/>
        <v>184500</v>
      </c>
      <c r="H56" s="155">
        <f t="shared" si="2"/>
        <v>184500</v>
      </c>
      <c r="I56" s="155"/>
    </row>
    <row r="57" spans="2:9">
      <c r="B57" s="62" t="s">
        <v>49</v>
      </c>
      <c r="C57" s="43">
        <v>2034</v>
      </c>
      <c r="D57" s="86"/>
      <c r="E57" s="109">
        <v>0.03</v>
      </c>
      <c r="F57" s="86"/>
      <c r="G57" s="155">
        <f t="shared" si="3"/>
        <v>184500</v>
      </c>
      <c r="H57" s="155">
        <f t="shared" si="2"/>
        <v>184500</v>
      </c>
      <c r="I57" s="155">
        <f>H56+H57</f>
        <v>369000</v>
      </c>
    </row>
    <row r="58" spans="2:9">
      <c r="B58" s="62" t="s">
        <v>48</v>
      </c>
      <c r="D58" s="87"/>
      <c r="E58" s="109"/>
      <c r="F58" s="86">
        <f>ROUND(+D58*E58/2,2)</f>
        <v>0</v>
      </c>
      <c r="G58" s="155">
        <f t="shared" si="3"/>
        <v>184500</v>
      </c>
      <c r="H58" s="155">
        <f t="shared" si="2"/>
        <v>184500</v>
      </c>
      <c r="I58" s="155"/>
    </row>
    <row r="59" spans="2:9">
      <c r="B59" s="62" t="s">
        <v>49</v>
      </c>
      <c r="C59" s="43">
        <v>2035</v>
      </c>
      <c r="D59" s="86"/>
      <c r="E59" s="109">
        <v>0.03</v>
      </c>
      <c r="F59" s="86"/>
      <c r="G59" s="155">
        <f t="shared" si="3"/>
        <v>184500</v>
      </c>
      <c r="H59" s="155">
        <f t="shared" si="2"/>
        <v>184500</v>
      </c>
      <c r="I59" s="155">
        <f>H58+H59</f>
        <v>369000</v>
      </c>
    </row>
    <row r="60" spans="2:9">
      <c r="B60" s="62" t="s">
        <v>48</v>
      </c>
      <c r="D60" s="87"/>
      <c r="E60" s="109"/>
      <c r="F60" s="86">
        <f>ROUND(+D60*E60/2,2)</f>
        <v>0</v>
      </c>
      <c r="G60" s="155">
        <f t="shared" si="3"/>
        <v>184500</v>
      </c>
      <c r="H60" s="155">
        <f t="shared" si="2"/>
        <v>184500</v>
      </c>
      <c r="I60" s="155"/>
    </row>
    <row r="61" spans="2:9">
      <c r="B61" s="62" t="s">
        <v>49</v>
      </c>
      <c r="C61" s="43">
        <v>2036</v>
      </c>
      <c r="D61" s="87"/>
      <c r="E61" s="109">
        <v>0.03</v>
      </c>
      <c r="F61" s="86"/>
      <c r="G61" s="155">
        <f t="shared" si="3"/>
        <v>184500</v>
      </c>
      <c r="H61" s="155">
        <f t="shared" si="2"/>
        <v>184500</v>
      </c>
      <c r="I61" s="155">
        <f>H60+H61</f>
        <v>369000</v>
      </c>
    </row>
    <row r="62" spans="2:9">
      <c r="B62" s="62" t="s">
        <v>48</v>
      </c>
      <c r="C62" s="43"/>
      <c r="D62" s="87"/>
      <c r="E62" s="109"/>
      <c r="F62" s="86"/>
      <c r="G62" s="155">
        <f t="shared" si="3"/>
        <v>184500</v>
      </c>
      <c r="H62" s="155">
        <f t="shared" si="2"/>
        <v>184500</v>
      </c>
      <c r="I62" s="155"/>
    </row>
    <row r="63" spans="2:9">
      <c r="B63" s="62" t="s">
        <v>49</v>
      </c>
      <c r="C63" s="43">
        <v>2037</v>
      </c>
      <c r="D63" s="87"/>
      <c r="E63" s="109">
        <v>0.03</v>
      </c>
      <c r="F63" s="86"/>
      <c r="G63" s="155">
        <f t="shared" si="3"/>
        <v>184500</v>
      </c>
      <c r="H63" s="155">
        <f t="shared" si="2"/>
        <v>184500</v>
      </c>
      <c r="I63" s="155">
        <f>H62+H63</f>
        <v>369000</v>
      </c>
    </row>
    <row r="64" spans="2:9">
      <c r="B64" s="62" t="s">
        <v>48</v>
      </c>
      <c r="C64" s="43"/>
      <c r="D64" s="87"/>
      <c r="E64" s="109"/>
      <c r="F64" s="86"/>
      <c r="G64" s="155">
        <f t="shared" si="3"/>
        <v>184500</v>
      </c>
      <c r="H64" s="155">
        <f t="shared" si="2"/>
        <v>184500</v>
      </c>
      <c r="I64" s="155"/>
    </row>
    <row r="65" spans="2:9">
      <c r="B65" s="62" t="s">
        <v>49</v>
      </c>
      <c r="C65" s="43">
        <v>2038</v>
      </c>
      <c r="D65" s="87"/>
      <c r="E65" s="109">
        <v>0.03</v>
      </c>
      <c r="F65" s="86"/>
      <c r="G65" s="155">
        <f t="shared" si="3"/>
        <v>184500</v>
      </c>
      <c r="H65" s="155">
        <f t="shared" si="2"/>
        <v>184500</v>
      </c>
      <c r="I65" s="155">
        <f>H64+H65</f>
        <v>369000</v>
      </c>
    </row>
    <row r="66" spans="2:9">
      <c r="B66" s="62" t="s">
        <v>48</v>
      </c>
      <c r="C66" s="43"/>
      <c r="D66" s="87"/>
      <c r="E66" s="109"/>
      <c r="F66" s="86"/>
      <c r="G66" s="155">
        <f t="shared" si="3"/>
        <v>184500</v>
      </c>
      <c r="H66" s="155">
        <f t="shared" si="2"/>
        <v>184500</v>
      </c>
      <c r="I66" s="155"/>
    </row>
    <row r="67" spans="2:9">
      <c r="B67" s="62" t="s">
        <v>49</v>
      </c>
      <c r="C67" s="43">
        <v>2039</v>
      </c>
      <c r="D67" s="87"/>
      <c r="E67" s="109">
        <v>0.03</v>
      </c>
      <c r="F67" s="86"/>
      <c r="G67" s="155">
        <f t="shared" si="3"/>
        <v>184500</v>
      </c>
      <c r="H67" s="155">
        <f t="shared" si="2"/>
        <v>184500</v>
      </c>
      <c r="I67" s="155">
        <f>H66+H67</f>
        <v>369000</v>
      </c>
    </row>
    <row r="68" spans="2:9">
      <c r="B68" s="62" t="s">
        <v>48</v>
      </c>
      <c r="C68" s="43"/>
      <c r="D68" s="87"/>
      <c r="E68" s="109"/>
      <c r="F68" s="86"/>
      <c r="G68" s="155">
        <f t="shared" si="3"/>
        <v>184500</v>
      </c>
      <c r="H68" s="155">
        <f t="shared" si="2"/>
        <v>184500</v>
      </c>
      <c r="I68" s="155"/>
    </row>
    <row r="69" spans="2:9">
      <c r="B69" s="62" t="s">
        <v>49</v>
      </c>
      <c r="C69" s="43">
        <v>2040</v>
      </c>
      <c r="D69" s="87"/>
      <c r="E69" s="109">
        <v>0.03</v>
      </c>
      <c r="F69" s="86"/>
      <c r="G69" s="155">
        <f t="shared" si="3"/>
        <v>184500</v>
      </c>
      <c r="H69" s="155">
        <f t="shared" si="2"/>
        <v>184500</v>
      </c>
      <c r="I69" s="155">
        <f>H68+H69</f>
        <v>369000</v>
      </c>
    </row>
    <row r="70" spans="2:9">
      <c r="B70" s="62" t="s">
        <v>48</v>
      </c>
      <c r="C70" s="43"/>
      <c r="D70" s="87"/>
      <c r="E70" s="109"/>
      <c r="F70" s="86"/>
      <c r="G70" s="155">
        <f t="shared" si="3"/>
        <v>184500</v>
      </c>
      <c r="H70" s="155">
        <f t="shared" si="2"/>
        <v>184500</v>
      </c>
      <c r="I70" s="155"/>
    </row>
    <row r="71" spans="2:9">
      <c r="B71" s="62" t="s">
        <v>49</v>
      </c>
      <c r="C71" s="43">
        <v>2041</v>
      </c>
      <c r="D71" s="87"/>
      <c r="E71" s="109">
        <v>0.03</v>
      </c>
      <c r="F71" s="86"/>
      <c r="G71" s="155">
        <f t="shared" si="3"/>
        <v>184500</v>
      </c>
      <c r="H71" s="155">
        <f t="shared" si="2"/>
        <v>184500</v>
      </c>
      <c r="I71" s="155">
        <f>H70+H71</f>
        <v>369000</v>
      </c>
    </row>
    <row r="72" spans="2:9">
      <c r="B72" s="62" t="s">
        <v>48</v>
      </c>
      <c r="C72" s="43"/>
      <c r="D72" s="87"/>
      <c r="E72" s="109"/>
      <c r="F72" s="86"/>
      <c r="G72" s="155">
        <f t="shared" si="3"/>
        <v>184500</v>
      </c>
      <c r="H72" s="155">
        <f t="shared" si="2"/>
        <v>184500</v>
      </c>
      <c r="I72" s="155"/>
    </row>
    <row r="73" spans="2:9">
      <c r="B73" s="62" t="s">
        <v>49</v>
      </c>
      <c r="C73" s="43">
        <v>2042</v>
      </c>
      <c r="D73" s="87"/>
      <c r="E73" s="109">
        <v>0.03</v>
      </c>
      <c r="F73" s="86"/>
      <c r="G73" s="155">
        <f t="shared" si="3"/>
        <v>184500</v>
      </c>
      <c r="H73" s="155">
        <f t="shared" si="2"/>
        <v>184500</v>
      </c>
      <c r="I73" s="155">
        <f>H72+H73</f>
        <v>369000</v>
      </c>
    </row>
    <row r="74" spans="2:9">
      <c r="B74" s="62" t="s">
        <v>48</v>
      </c>
      <c r="C74" s="43"/>
      <c r="D74" s="87"/>
      <c r="E74" s="109"/>
      <c r="F74" s="86"/>
      <c r="G74" s="155">
        <f t="shared" si="3"/>
        <v>184500</v>
      </c>
      <c r="H74" s="155">
        <f t="shared" si="2"/>
        <v>184500</v>
      </c>
      <c r="I74" s="155"/>
    </row>
    <row r="75" spans="2:9">
      <c r="B75" s="62" t="s">
        <v>49</v>
      </c>
      <c r="C75" s="43">
        <v>2043</v>
      </c>
      <c r="D75" s="87"/>
      <c r="E75" s="109">
        <v>0.03</v>
      </c>
      <c r="F75" s="86"/>
      <c r="G75" s="155">
        <f t="shared" si="3"/>
        <v>184500</v>
      </c>
      <c r="H75" s="155">
        <f t="shared" si="2"/>
        <v>184500</v>
      </c>
      <c r="I75" s="155">
        <f>H74+H75</f>
        <v>369000</v>
      </c>
    </row>
    <row r="76" spans="2:9">
      <c r="B76" s="62" t="s">
        <v>48</v>
      </c>
      <c r="C76" s="43"/>
      <c r="D76" s="87"/>
      <c r="E76" s="109"/>
      <c r="F76" s="86"/>
      <c r="G76" s="155">
        <f t="shared" si="3"/>
        <v>184500</v>
      </c>
      <c r="H76" s="155">
        <f t="shared" si="2"/>
        <v>184500</v>
      </c>
      <c r="I76" s="155"/>
    </row>
    <row r="77" spans="2:9">
      <c r="B77" s="62" t="s">
        <v>49</v>
      </c>
      <c r="C77" s="43">
        <v>2044</v>
      </c>
      <c r="D77" s="153">
        <v>1270000</v>
      </c>
      <c r="E77" s="109">
        <v>0.03</v>
      </c>
      <c r="F77" s="86"/>
      <c r="G77" s="155">
        <f t="shared" si="3"/>
        <v>184500</v>
      </c>
      <c r="H77" s="155">
        <f t="shared" si="2"/>
        <v>1454500</v>
      </c>
      <c r="I77" s="155">
        <f>H76+H77</f>
        <v>1639000</v>
      </c>
    </row>
    <row r="78" spans="2:9">
      <c r="B78" s="62" t="s">
        <v>48</v>
      </c>
      <c r="C78" s="43"/>
      <c r="D78" s="153"/>
      <c r="E78" s="109"/>
      <c r="F78" s="86"/>
      <c r="G78" s="155">
        <v>165450</v>
      </c>
      <c r="H78" s="155">
        <f t="shared" si="2"/>
        <v>165450</v>
      </c>
      <c r="I78" s="155"/>
    </row>
    <row r="79" spans="2:9">
      <c r="B79" s="62" t="s">
        <v>49</v>
      </c>
      <c r="C79" s="43">
        <v>2045</v>
      </c>
      <c r="D79" s="153">
        <v>1310000</v>
      </c>
      <c r="E79" s="109">
        <v>0.03</v>
      </c>
      <c r="F79" s="86"/>
      <c r="G79" s="155">
        <f t="shared" ref="G79" si="5">+G78-F78</f>
        <v>165450</v>
      </c>
      <c r="H79" s="155">
        <f t="shared" si="2"/>
        <v>1475450</v>
      </c>
      <c r="I79" s="155">
        <f>H78+H79</f>
        <v>1640900</v>
      </c>
    </row>
    <row r="80" spans="2:9">
      <c r="B80" s="62" t="s">
        <v>48</v>
      </c>
      <c r="C80" s="43"/>
      <c r="D80" s="153"/>
      <c r="E80" s="109"/>
      <c r="F80" s="86"/>
      <c r="G80" s="155">
        <v>145800</v>
      </c>
      <c r="H80" s="155">
        <f t="shared" si="2"/>
        <v>145800</v>
      </c>
      <c r="I80" s="155"/>
    </row>
    <row r="81" spans="2:9">
      <c r="B81" s="62" t="s">
        <v>49</v>
      </c>
      <c r="C81" s="43">
        <v>2046</v>
      </c>
      <c r="D81" s="153">
        <v>1345000</v>
      </c>
      <c r="E81" s="109">
        <v>0.04</v>
      </c>
      <c r="F81" s="86"/>
      <c r="G81" s="155">
        <f t="shared" ref="G81" si="6">+G80-F80</f>
        <v>145800</v>
      </c>
      <c r="H81" s="155">
        <f t="shared" si="2"/>
        <v>1490800</v>
      </c>
      <c r="I81" s="155">
        <f>H80+H81</f>
        <v>1636600</v>
      </c>
    </row>
    <row r="82" spans="2:9">
      <c r="B82" s="62" t="s">
        <v>48</v>
      </c>
      <c r="C82" s="43"/>
      <c r="D82" s="153"/>
      <c r="E82" s="109"/>
      <c r="F82" s="86"/>
      <c r="G82" s="155">
        <v>118900</v>
      </c>
      <c r="H82" s="155">
        <f t="shared" si="2"/>
        <v>118900</v>
      </c>
      <c r="I82" s="155"/>
    </row>
    <row r="83" spans="2:9">
      <c r="B83" s="62" t="s">
        <v>49</v>
      </c>
      <c r="C83" s="43">
        <v>2047</v>
      </c>
      <c r="D83" s="153">
        <v>1400000</v>
      </c>
      <c r="E83" s="109">
        <v>0.04</v>
      </c>
      <c r="F83" s="86"/>
      <c r="G83" s="155">
        <f t="shared" ref="G83" si="7">+G82-F82</f>
        <v>118900</v>
      </c>
      <c r="H83" s="155">
        <f t="shared" si="2"/>
        <v>1518900</v>
      </c>
      <c r="I83" s="155">
        <f>H82+H83</f>
        <v>1637800</v>
      </c>
    </row>
    <row r="84" spans="2:9">
      <c r="B84" s="62" t="s">
        <v>48</v>
      </c>
      <c r="C84" s="43"/>
      <c r="D84" s="153"/>
      <c r="E84" s="109"/>
      <c r="F84" s="86"/>
      <c r="G84" s="155">
        <v>90900</v>
      </c>
      <c r="H84" s="155">
        <f t="shared" si="2"/>
        <v>90900</v>
      </c>
      <c r="I84" s="155"/>
    </row>
    <row r="85" spans="2:9">
      <c r="B85" s="62" t="s">
        <v>49</v>
      </c>
      <c r="C85" s="43">
        <v>2048</v>
      </c>
      <c r="D85" s="153">
        <v>1455000</v>
      </c>
      <c r="E85" s="109">
        <v>0.04</v>
      </c>
      <c r="F85" s="86"/>
      <c r="G85" s="155">
        <f t="shared" ref="G85" si="8">+G84-F84</f>
        <v>90900</v>
      </c>
      <c r="H85" s="155">
        <f t="shared" si="2"/>
        <v>1545900</v>
      </c>
      <c r="I85" s="155">
        <f>H84+H85</f>
        <v>1636800</v>
      </c>
    </row>
    <row r="86" spans="2:9">
      <c r="B86" s="62" t="s">
        <v>48</v>
      </c>
      <c r="C86" s="43"/>
      <c r="D86" s="153"/>
      <c r="E86" s="109"/>
      <c r="F86" s="86"/>
      <c r="G86" s="155">
        <v>61800</v>
      </c>
      <c r="H86" s="155">
        <f t="shared" si="2"/>
        <v>61800</v>
      </c>
      <c r="I86" s="155"/>
    </row>
    <row r="87" spans="2:9">
      <c r="B87" s="62" t="s">
        <v>49</v>
      </c>
      <c r="C87" s="43">
        <v>2049</v>
      </c>
      <c r="D87" s="153">
        <v>1515000</v>
      </c>
      <c r="E87" s="109">
        <v>0.04</v>
      </c>
      <c r="F87" s="86"/>
      <c r="G87" s="155">
        <f t="shared" ref="G87" si="9">+G86-F86</f>
        <v>61800</v>
      </c>
      <c r="H87" s="155">
        <f t="shared" si="2"/>
        <v>1576800</v>
      </c>
      <c r="I87" s="155">
        <f>H86+H87</f>
        <v>1638600</v>
      </c>
    </row>
    <row r="88" spans="2:9">
      <c r="B88" s="62" t="s">
        <v>48</v>
      </c>
      <c r="C88" s="43"/>
      <c r="D88" s="153"/>
      <c r="E88" s="109"/>
      <c r="F88" s="86"/>
      <c r="G88" s="155">
        <v>31500</v>
      </c>
      <c r="H88" s="155">
        <f t="shared" si="2"/>
        <v>31500</v>
      </c>
      <c r="I88" s="155"/>
    </row>
    <row r="89" spans="2:9">
      <c r="B89" s="62" t="s">
        <v>49</v>
      </c>
      <c r="C89" s="43">
        <v>2050</v>
      </c>
      <c r="D89" s="153">
        <v>1575000</v>
      </c>
      <c r="E89" s="109">
        <v>0.04</v>
      </c>
      <c r="F89" s="86"/>
      <c r="G89" s="155">
        <f t="shared" ref="G89" si="10">+G88-F88</f>
        <v>31500</v>
      </c>
      <c r="H89" s="155">
        <f t="shared" si="2"/>
        <v>1606500</v>
      </c>
      <c r="I89" s="155">
        <f>H88+H89</f>
        <v>1638000</v>
      </c>
    </row>
    <row r="90" spans="2:9">
      <c r="B90" s="14"/>
      <c r="C90" s="41"/>
      <c r="D90" s="154"/>
      <c r="E90" s="42"/>
      <c r="F90" s="44"/>
      <c r="G90" s="154"/>
      <c r="H90" s="154"/>
      <c r="I90" s="154"/>
    </row>
    <row r="91" spans="2:9">
      <c r="B91" s="62"/>
      <c r="C91" s="41"/>
      <c r="D91" s="46"/>
      <c r="E91" s="42"/>
      <c r="F91" s="46"/>
      <c r="G91" s="156"/>
      <c r="H91" s="156"/>
      <c r="I91" s="156"/>
    </row>
    <row r="92" spans="2:9">
      <c r="B92" s="45"/>
      <c r="C92" s="45"/>
      <c r="D92" s="88">
        <f>SUM(D33:D90)</f>
        <v>9870000</v>
      </c>
      <c r="E92" s="89"/>
      <c r="F92" s="88">
        <f>SUM(F33:F90)</f>
        <v>0</v>
      </c>
      <c r="G92" s="157">
        <f>SUM(G33:G90)</f>
        <v>9346700</v>
      </c>
      <c r="H92" s="157">
        <f>SUM(H33:H90)</f>
        <v>19216700</v>
      </c>
      <c r="I92" s="157">
        <f>SUM(I33:I90)</f>
        <v>19216700</v>
      </c>
    </row>
    <row r="93" spans="2:9">
      <c r="B93" s="45"/>
      <c r="C93" s="45"/>
      <c r="D93" s="46"/>
      <c r="E93" s="47"/>
      <c r="F93" s="46"/>
      <c r="G93" s="46"/>
      <c r="H93" s="46"/>
      <c r="I93" s="46"/>
    </row>
    <row r="94" spans="2:9">
      <c r="B94" s="64" t="s">
        <v>24</v>
      </c>
      <c r="C94" s="25"/>
      <c r="D94" s="25"/>
      <c r="E94" s="65"/>
      <c r="F94" s="66"/>
      <c r="G94" s="65">
        <v>9870000</v>
      </c>
      <c r="H94" s="66"/>
      <c r="I94" s="67"/>
    </row>
    <row r="95" spans="2:9">
      <c r="B95" s="68" t="s">
        <v>25</v>
      </c>
      <c r="C95" s="60"/>
      <c r="D95" s="14"/>
      <c r="E95" s="57"/>
      <c r="F95" s="58"/>
      <c r="G95" s="63">
        <v>6816964</v>
      </c>
      <c r="H95" s="58"/>
      <c r="I95" s="69"/>
    </row>
    <row r="96" spans="2:9">
      <c r="B96" s="70" t="s">
        <v>26</v>
      </c>
      <c r="C96" s="71"/>
      <c r="D96" s="24"/>
      <c r="E96" s="72"/>
      <c r="F96" s="59"/>
      <c r="G96" s="73">
        <f>G94-G95</f>
        <v>3053036</v>
      </c>
      <c r="H96" s="59"/>
      <c r="I96" s="74"/>
    </row>
    <row r="97" spans="2:9">
      <c r="B97" s="75"/>
      <c r="C97" s="60"/>
      <c r="D97" s="14"/>
      <c r="E97" s="57"/>
      <c r="F97" s="58"/>
      <c r="G97" s="63"/>
      <c r="H97" s="58"/>
      <c r="I97" s="58"/>
    </row>
    <row r="98" spans="2:9">
      <c r="B98" s="75"/>
      <c r="C98" s="60"/>
      <c r="D98" s="14"/>
      <c r="E98" s="57"/>
      <c r="F98" s="58"/>
      <c r="G98" s="63"/>
      <c r="H98" s="58"/>
      <c r="I98" s="58"/>
    </row>
    <row r="100" spans="2:9">
      <c r="B100" s="234" t="s">
        <v>34</v>
      </c>
      <c r="C100" s="234"/>
      <c r="D100" s="234"/>
      <c r="E100" s="234"/>
      <c r="F100" s="234"/>
      <c r="G100" s="234"/>
      <c r="H100" s="234"/>
      <c r="I100" s="234"/>
    </row>
    <row r="101" spans="2:9">
      <c r="B101" s="234" t="s">
        <v>23</v>
      </c>
      <c r="C101" s="234"/>
      <c r="D101" s="234"/>
      <c r="E101" s="234"/>
      <c r="F101" s="234"/>
      <c r="G101" s="234"/>
      <c r="H101" s="234"/>
      <c r="I101" s="234"/>
    </row>
    <row r="102" spans="2:9">
      <c r="B102" s="234" t="s">
        <v>69</v>
      </c>
      <c r="C102" s="234"/>
      <c r="D102" s="234"/>
      <c r="E102" s="234"/>
      <c r="F102" s="234"/>
      <c r="G102" s="234"/>
      <c r="H102" s="234"/>
      <c r="I102" s="234"/>
    </row>
    <row r="103" spans="2:9">
      <c r="B103" s="234" t="s">
        <v>68</v>
      </c>
      <c r="C103" s="234"/>
      <c r="D103" s="234"/>
      <c r="E103" s="234"/>
      <c r="F103" s="234"/>
      <c r="G103" s="234"/>
      <c r="H103" s="234"/>
      <c r="I103" s="234"/>
    </row>
    <row r="104" spans="2:9">
      <c r="B104" s="60" t="s">
        <v>79</v>
      </c>
      <c r="C104" s="49"/>
      <c r="D104" s="49"/>
      <c r="E104" s="49"/>
      <c r="F104" s="49"/>
      <c r="G104" s="49"/>
      <c r="H104" s="49"/>
      <c r="I104" s="49"/>
    </row>
    <row r="105" spans="2:9">
      <c r="B105" s="60" t="s">
        <v>80</v>
      </c>
      <c r="C105" s="61"/>
      <c r="D105" s="61"/>
      <c r="E105" s="61"/>
      <c r="F105" s="61"/>
      <c r="G105" s="61"/>
      <c r="H105" s="61"/>
      <c r="I105" s="61"/>
    </row>
    <row r="106" spans="2:9">
      <c r="B106" s="53"/>
      <c r="C106" s="54"/>
      <c r="D106" s="50"/>
      <c r="E106" s="51"/>
      <c r="F106" s="52" t="s">
        <v>15</v>
      </c>
      <c r="G106" s="50"/>
      <c r="H106" s="50"/>
      <c r="I106" s="50"/>
    </row>
    <row r="107" spans="2:9">
      <c r="B107" s="235" t="s">
        <v>19</v>
      </c>
      <c r="C107" s="235"/>
      <c r="D107" s="55" t="s">
        <v>14</v>
      </c>
      <c r="E107" s="56" t="s">
        <v>20</v>
      </c>
      <c r="F107" s="55" t="s">
        <v>21</v>
      </c>
      <c r="G107" s="55" t="s">
        <v>15</v>
      </c>
      <c r="H107" s="55" t="s">
        <v>16</v>
      </c>
      <c r="I107" s="55" t="s">
        <v>22</v>
      </c>
    </row>
    <row r="109" spans="2:9">
      <c r="B109" s="62" t="s">
        <v>48</v>
      </c>
      <c r="C109" s="43"/>
      <c r="D109" s="155"/>
      <c r="E109" s="109"/>
      <c r="F109" s="86"/>
      <c r="G109" s="155">
        <v>642927</v>
      </c>
      <c r="H109" s="155">
        <f t="shared" ref="H109:H150" si="11">+G109+D109</f>
        <v>642927</v>
      </c>
      <c r="I109" s="155"/>
    </row>
    <row r="110" spans="2:9">
      <c r="B110" s="62" t="s">
        <v>49</v>
      </c>
      <c r="C110" s="43">
        <v>2023</v>
      </c>
      <c r="D110" s="155">
        <v>815000</v>
      </c>
      <c r="E110" s="109">
        <v>8.2000000000000007E-3</v>
      </c>
      <c r="F110" s="86"/>
      <c r="G110" s="155">
        <f t="shared" ref="G110" si="12">+G109-F109</f>
        <v>642927</v>
      </c>
      <c r="H110" s="155">
        <f t="shared" si="11"/>
        <v>1457927</v>
      </c>
      <c r="I110" s="155">
        <f>H109+H110</f>
        <v>2100854</v>
      </c>
    </row>
    <row r="111" spans="2:9">
      <c r="B111" s="62" t="s">
        <v>48</v>
      </c>
      <c r="D111" s="153"/>
      <c r="E111" s="109"/>
      <c r="F111" s="86">
        <f t="shared" ref="F111" si="13">ROUND(+D111*E111/2,2)</f>
        <v>0</v>
      </c>
      <c r="G111" s="155">
        <v>639658</v>
      </c>
      <c r="H111" s="155">
        <f t="shared" si="11"/>
        <v>639658</v>
      </c>
      <c r="I111" s="155"/>
    </row>
    <row r="112" spans="2:9">
      <c r="B112" s="62" t="s">
        <v>49</v>
      </c>
      <c r="C112" s="43">
        <v>2024</v>
      </c>
      <c r="D112" s="155">
        <v>2325000</v>
      </c>
      <c r="E112" s="109">
        <v>9.5999999999999992E-3</v>
      </c>
      <c r="F112" s="86"/>
      <c r="G112" s="155">
        <f>+G111-F111+1</f>
        <v>639659</v>
      </c>
      <c r="H112" s="155">
        <f t="shared" si="11"/>
        <v>2964659</v>
      </c>
      <c r="I112" s="155">
        <f>H111+H112</f>
        <v>3604317</v>
      </c>
    </row>
    <row r="113" spans="2:9">
      <c r="B113" s="62" t="s">
        <v>48</v>
      </c>
      <c r="D113" s="153"/>
      <c r="E113" s="109"/>
      <c r="F113" s="86">
        <f>ROUND(+D113*E113/2,2)</f>
        <v>0</v>
      </c>
      <c r="G113" s="155">
        <v>628452</v>
      </c>
      <c r="H113" s="155">
        <f t="shared" si="11"/>
        <v>628452</v>
      </c>
      <c r="I113" s="155"/>
    </row>
    <row r="114" spans="2:9">
      <c r="B114" s="62" t="s">
        <v>49</v>
      </c>
      <c r="C114" s="43">
        <v>2025</v>
      </c>
      <c r="D114" s="155">
        <v>2345000</v>
      </c>
      <c r="E114" s="109">
        <v>1.064E-2</v>
      </c>
      <c r="F114" s="86"/>
      <c r="G114" s="155">
        <f t="shared" ref="G114:G144" si="14">+G113-F113</f>
        <v>628452</v>
      </c>
      <c r="H114" s="155">
        <f t="shared" si="11"/>
        <v>2973452</v>
      </c>
      <c r="I114" s="155">
        <f>H113+H114</f>
        <v>3601904</v>
      </c>
    </row>
    <row r="115" spans="2:9">
      <c r="B115" s="62" t="s">
        <v>48</v>
      </c>
      <c r="D115" s="153"/>
      <c r="E115" s="109"/>
      <c r="F115" s="86">
        <f>ROUND(+D115*E115/2,2)</f>
        <v>0</v>
      </c>
      <c r="G115" s="155">
        <v>615977</v>
      </c>
      <c r="H115" s="155">
        <f t="shared" si="11"/>
        <v>615977</v>
      </c>
      <c r="I115" s="155"/>
    </row>
    <row r="116" spans="2:9">
      <c r="B116" s="62" t="s">
        <v>49</v>
      </c>
      <c r="C116" s="43">
        <v>2026</v>
      </c>
      <c r="D116" s="155">
        <v>2365000</v>
      </c>
      <c r="E116" s="109">
        <v>1.3599999999999999E-2</v>
      </c>
      <c r="F116" s="86"/>
      <c r="G116" s="155">
        <f t="shared" si="14"/>
        <v>615977</v>
      </c>
      <c r="H116" s="155">
        <f t="shared" si="11"/>
        <v>2980977</v>
      </c>
      <c r="I116" s="155">
        <f>H115+H116</f>
        <v>3596954</v>
      </c>
    </row>
    <row r="117" spans="2:9">
      <c r="B117" s="62" t="s">
        <v>48</v>
      </c>
      <c r="D117" s="153"/>
      <c r="E117" s="109"/>
      <c r="F117" s="86">
        <f>ROUND(+D117*E117/2,2)</f>
        <v>0</v>
      </c>
      <c r="G117" s="155">
        <v>599848</v>
      </c>
      <c r="H117" s="155">
        <f t="shared" si="11"/>
        <v>599848</v>
      </c>
      <c r="I117" s="155"/>
    </row>
    <row r="118" spans="2:9">
      <c r="B118" s="62" t="s">
        <v>49</v>
      </c>
      <c r="C118" s="43">
        <v>2027</v>
      </c>
      <c r="D118" s="155">
        <v>2400000</v>
      </c>
      <c r="E118" s="109">
        <v>1.46E-2</v>
      </c>
      <c r="F118" s="86"/>
      <c r="G118" s="155">
        <f>+G117-F117-1</f>
        <v>599847</v>
      </c>
      <c r="H118" s="155">
        <f t="shared" si="11"/>
        <v>2999847</v>
      </c>
      <c r="I118" s="155">
        <f>H117+H118</f>
        <v>3599695</v>
      </c>
    </row>
    <row r="119" spans="2:9">
      <c r="B119" s="62" t="s">
        <v>48</v>
      </c>
      <c r="D119" s="153"/>
      <c r="E119" s="109"/>
      <c r="F119" s="86">
        <f>ROUND(+D119*E119/2,2)</f>
        <v>0</v>
      </c>
      <c r="G119" s="155">
        <v>582280</v>
      </c>
      <c r="H119" s="155">
        <f t="shared" si="11"/>
        <v>582280</v>
      </c>
      <c r="I119" s="155"/>
    </row>
    <row r="120" spans="2:9">
      <c r="B120" s="62" t="s">
        <v>49</v>
      </c>
      <c r="C120" s="43">
        <v>2028</v>
      </c>
      <c r="D120" s="155">
        <v>2435000</v>
      </c>
      <c r="E120" s="109">
        <v>1.6799999999999999E-2</v>
      </c>
      <c r="F120" s="86"/>
      <c r="G120" s="155">
        <f>+G119-F119-1</f>
        <v>582279</v>
      </c>
      <c r="H120" s="155">
        <f t="shared" si="11"/>
        <v>3017279</v>
      </c>
      <c r="I120" s="155">
        <f>H119+H120</f>
        <v>3599559</v>
      </c>
    </row>
    <row r="121" spans="2:9">
      <c r="B121" s="62" t="s">
        <v>48</v>
      </c>
      <c r="D121" s="153"/>
      <c r="E121" s="109"/>
      <c r="F121" s="86">
        <f>ROUND(+D121*E121/2,2)</f>
        <v>0</v>
      </c>
      <c r="G121" s="155">
        <v>561801</v>
      </c>
      <c r="H121" s="155">
        <f t="shared" si="11"/>
        <v>561801</v>
      </c>
      <c r="I121" s="155"/>
    </row>
    <row r="122" spans="2:9">
      <c r="B122" s="62" t="s">
        <v>49</v>
      </c>
      <c r="C122" s="43">
        <v>2029</v>
      </c>
      <c r="D122" s="155">
        <v>2475000</v>
      </c>
      <c r="E122" s="109">
        <v>1.78E-2</v>
      </c>
      <c r="F122" s="86"/>
      <c r="G122" s="155">
        <f t="shared" si="14"/>
        <v>561801</v>
      </c>
      <c r="H122" s="155">
        <f t="shared" si="11"/>
        <v>3036801</v>
      </c>
      <c r="I122" s="155">
        <f>H121+H122</f>
        <v>3598602</v>
      </c>
    </row>
    <row r="123" spans="2:9">
      <c r="B123" s="62" t="s">
        <v>48</v>
      </c>
      <c r="D123" s="153"/>
      <c r="E123" s="109"/>
      <c r="F123" s="86">
        <f>ROUND(+D123*E123/2,2)</f>
        <v>0</v>
      </c>
      <c r="G123" s="155">
        <v>539749</v>
      </c>
      <c r="H123" s="155">
        <f t="shared" si="11"/>
        <v>539749</v>
      </c>
      <c r="I123" s="155"/>
    </row>
    <row r="124" spans="2:9">
      <c r="B124" s="62" t="s">
        <v>49</v>
      </c>
      <c r="C124" s="43">
        <v>2030</v>
      </c>
      <c r="D124" s="155">
        <v>2520000</v>
      </c>
      <c r="E124" s="109">
        <v>1.8800000000000001E-2</v>
      </c>
      <c r="F124" s="86"/>
      <c r="G124" s="155">
        <f t="shared" si="14"/>
        <v>539749</v>
      </c>
      <c r="H124" s="155">
        <f t="shared" si="11"/>
        <v>3059749</v>
      </c>
      <c r="I124" s="155">
        <f>H123+H124</f>
        <v>3599498</v>
      </c>
    </row>
    <row r="125" spans="2:9">
      <c r="B125" s="62" t="s">
        <v>48</v>
      </c>
      <c r="D125" s="153"/>
      <c r="E125" s="109"/>
      <c r="F125" s="86">
        <f>ROUND(+D125*E125/2,2)</f>
        <v>0</v>
      </c>
      <c r="G125" s="155">
        <v>516035</v>
      </c>
      <c r="H125" s="155">
        <f t="shared" si="11"/>
        <v>516035</v>
      </c>
      <c r="I125" s="155"/>
    </row>
    <row r="126" spans="2:9">
      <c r="B126" s="62" t="s">
        <v>49</v>
      </c>
      <c r="C126" s="43">
        <v>2031</v>
      </c>
      <c r="D126" s="155">
        <v>2570000</v>
      </c>
      <c r="E126" s="109">
        <v>1.9800000000000002E-2</v>
      </c>
      <c r="F126" s="86"/>
      <c r="G126" s="155">
        <f>+G125-F125+1</f>
        <v>516036</v>
      </c>
      <c r="H126" s="155">
        <f t="shared" si="11"/>
        <v>3086036</v>
      </c>
      <c r="I126" s="155">
        <f>H125+H126</f>
        <v>3602071</v>
      </c>
    </row>
    <row r="127" spans="2:9">
      <c r="B127" s="62" t="s">
        <v>48</v>
      </c>
      <c r="D127" s="153"/>
      <c r="E127" s="109"/>
      <c r="F127" s="86">
        <f>ROUND(+D127*E127/2,2)</f>
        <v>0</v>
      </c>
      <c r="G127" s="155">
        <v>490567</v>
      </c>
      <c r="H127" s="155">
        <f t="shared" si="11"/>
        <v>490567</v>
      </c>
      <c r="I127" s="155"/>
    </row>
    <row r="128" spans="2:9">
      <c r="B128" s="62" t="s">
        <v>49</v>
      </c>
      <c r="C128" s="43">
        <v>2032</v>
      </c>
      <c r="D128" s="155">
        <v>2625000</v>
      </c>
      <c r="E128" s="109">
        <v>2.0799999999999999E-2</v>
      </c>
      <c r="F128" s="86"/>
      <c r="G128" s="155">
        <f t="shared" si="14"/>
        <v>490567</v>
      </c>
      <c r="H128" s="155">
        <f t="shared" si="11"/>
        <v>3115567</v>
      </c>
      <c r="I128" s="155">
        <f>H127+H128</f>
        <v>3606134</v>
      </c>
    </row>
    <row r="129" spans="2:9">
      <c r="B129" s="62" t="s">
        <v>48</v>
      </c>
      <c r="D129" s="153"/>
      <c r="E129" s="109"/>
      <c r="F129" s="86">
        <f>ROUND(+D129*E129/2,2)</f>
        <v>0</v>
      </c>
      <c r="G129" s="155">
        <v>463241</v>
      </c>
      <c r="H129" s="155">
        <f t="shared" si="11"/>
        <v>463241</v>
      </c>
      <c r="I129" s="155"/>
    </row>
    <row r="130" spans="2:9">
      <c r="B130" s="62" t="s">
        <v>49</v>
      </c>
      <c r="C130" s="43">
        <v>2033</v>
      </c>
      <c r="D130" s="155">
        <v>2670000</v>
      </c>
      <c r="E130" s="109">
        <v>2.1299999999999999E-2</v>
      </c>
      <c r="F130" s="86"/>
      <c r="G130" s="155">
        <f t="shared" si="14"/>
        <v>463241</v>
      </c>
      <c r="H130" s="155">
        <f t="shared" si="11"/>
        <v>3133241</v>
      </c>
      <c r="I130" s="155">
        <f>H129+H130</f>
        <v>3596482</v>
      </c>
    </row>
    <row r="131" spans="2:9">
      <c r="B131" s="62" t="s">
        <v>48</v>
      </c>
      <c r="D131" s="153"/>
      <c r="E131" s="109"/>
      <c r="F131" s="86">
        <f>ROUND(+D131*E131/2,2)</f>
        <v>0</v>
      </c>
      <c r="G131" s="155">
        <v>434778</v>
      </c>
      <c r="H131" s="155">
        <f t="shared" si="11"/>
        <v>434778</v>
      </c>
      <c r="I131" s="155"/>
    </row>
    <row r="132" spans="2:9">
      <c r="B132" s="62" t="s">
        <v>49</v>
      </c>
      <c r="C132" s="43">
        <v>2034</v>
      </c>
      <c r="D132" s="155">
        <v>2730000</v>
      </c>
      <c r="E132" s="109">
        <v>2.23E-2</v>
      </c>
      <c r="F132" s="86"/>
      <c r="G132" s="155">
        <f>+G131-F131+1</f>
        <v>434779</v>
      </c>
      <c r="H132" s="155">
        <f t="shared" si="11"/>
        <v>3164779</v>
      </c>
      <c r="I132" s="155">
        <f>H131+H132</f>
        <v>3599557</v>
      </c>
    </row>
    <row r="133" spans="2:9">
      <c r="B133" s="62" t="s">
        <v>48</v>
      </c>
      <c r="D133" s="153"/>
      <c r="E133" s="109"/>
      <c r="F133" s="86">
        <f>ROUND(+D133*E133/2,2)</f>
        <v>0</v>
      </c>
      <c r="G133" s="155">
        <v>404312</v>
      </c>
      <c r="H133" s="155">
        <f t="shared" si="11"/>
        <v>404312</v>
      </c>
      <c r="I133" s="155"/>
    </row>
    <row r="134" spans="2:9">
      <c r="B134" s="62" t="s">
        <v>49</v>
      </c>
      <c r="C134" s="43">
        <v>2035</v>
      </c>
      <c r="D134" s="155">
        <v>2795000</v>
      </c>
      <c r="E134" s="109">
        <v>2.3199999999999998E-2</v>
      </c>
      <c r="F134" s="86"/>
      <c r="G134" s="155">
        <f t="shared" si="14"/>
        <v>404312</v>
      </c>
      <c r="H134" s="155">
        <f t="shared" si="11"/>
        <v>3199312</v>
      </c>
      <c r="I134" s="155">
        <f>H133+H134</f>
        <v>3603624</v>
      </c>
    </row>
    <row r="135" spans="2:9">
      <c r="B135" s="62" t="s">
        <v>48</v>
      </c>
      <c r="D135" s="153"/>
      <c r="E135" s="109"/>
      <c r="F135" s="86">
        <f>ROUND(+D135*E135/2,2)</f>
        <v>0</v>
      </c>
      <c r="G135" s="155">
        <v>371862</v>
      </c>
      <c r="H135" s="155">
        <f t="shared" si="11"/>
        <v>371862</v>
      </c>
      <c r="I135" s="155"/>
    </row>
    <row r="136" spans="2:9">
      <c r="B136" s="62" t="s">
        <v>49</v>
      </c>
      <c r="C136" s="43">
        <v>2036</v>
      </c>
      <c r="D136" s="153">
        <v>2855000</v>
      </c>
      <c r="E136" s="109">
        <v>2.9100000000000001E-2</v>
      </c>
      <c r="F136" s="86"/>
      <c r="G136" s="155">
        <f t="shared" si="14"/>
        <v>371862</v>
      </c>
      <c r="H136" s="155">
        <f t="shared" si="11"/>
        <v>3226862</v>
      </c>
      <c r="I136" s="155">
        <f>H135+H136</f>
        <v>3598724</v>
      </c>
    </row>
    <row r="137" spans="2:9">
      <c r="B137" s="62" t="s">
        <v>48</v>
      </c>
      <c r="C137" s="43"/>
      <c r="D137" s="153"/>
      <c r="E137" s="109"/>
      <c r="F137" s="86"/>
      <c r="G137" s="155">
        <v>330293</v>
      </c>
      <c r="H137" s="155">
        <f t="shared" si="11"/>
        <v>330293</v>
      </c>
      <c r="I137" s="155"/>
    </row>
    <row r="138" spans="2:9">
      <c r="B138" s="62" t="s">
        <v>49</v>
      </c>
      <c r="C138" s="43">
        <v>2037</v>
      </c>
      <c r="D138" s="153">
        <v>2940000</v>
      </c>
      <c r="E138" s="109">
        <v>2.9100000000000001E-2</v>
      </c>
      <c r="F138" s="86"/>
      <c r="G138" s="155">
        <f t="shared" si="14"/>
        <v>330293</v>
      </c>
      <c r="H138" s="155">
        <f t="shared" si="11"/>
        <v>3270293</v>
      </c>
      <c r="I138" s="155">
        <f>H137+H138</f>
        <v>3600586</v>
      </c>
    </row>
    <row r="139" spans="2:9">
      <c r="B139" s="62" t="s">
        <v>48</v>
      </c>
      <c r="C139" s="43"/>
      <c r="D139" s="153"/>
      <c r="E139" s="109"/>
      <c r="F139" s="86"/>
      <c r="G139" s="155">
        <v>287486</v>
      </c>
      <c r="H139" s="155">
        <f t="shared" si="11"/>
        <v>287486</v>
      </c>
      <c r="I139" s="155"/>
    </row>
    <row r="140" spans="2:9">
      <c r="B140" s="62" t="s">
        <v>49</v>
      </c>
      <c r="C140" s="43">
        <v>2038</v>
      </c>
      <c r="D140" s="153">
        <v>3025000</v>
      </c>
      <c r="E140" s="109">
        <v>2.9100000000000001E-2</v>
      </c>
      <c r="F140" s="86"/>
      <c r="G140" s="155">
        <f>+G139-F139+1</f>
        <v>287487</v>
      </c>
      <c r="H140" s="155">
        <f t="shared" si="11"/>
        <v>3312487</v>
      </c>
      <c r="I140" s="155">
        <f>H139+H140</f>
        <v>3599973</v>
      </c>
    </row>
    <row r="141" spans="2:9">
      <c r="B141" s="62" t="s">
        <v>48</v>
      </c>
      <c r="C141" s="43"/>
      <c r="D141" s="153"/>
      <c r="E141" s="109"/>
      <c r="F141" s="86"/>
      <c r="G141" s="155">
        <v>243443</v>
      </c>
      <c r="H141" s="155">
        <f t="shared" si="11"/>
        <v>243443</v>
      </c>
      <c r="I141" s="155"/>
    </row>
    <row r="142" spans="2:9">
      <c r="B142" s="62" t="s">
        <v>49</v>
      </c>
      <c r="C142" s="43">
        <v>2039</v>
      </c>
      <c r="D142" s="153">
        <v>3115000</v>
      </c>
      <c r="E142" s="109">
        <v>2.9100000000000001E-2</v>
      </c>
      <c r="F142" s="86"/>
      <c r="G142" s="155">
        <f>+G141-F141-1</f>
        <v>243442</v>
      </c>
      <c r="H142" s="155">
        <f t="shared" si="11"/>
        <v>3358442</v>
      </c>
      <c r="I142" s="155">
        <f>H141+H142</f>
        <v>3601885</v>
      </c>
    </row>
    <row r="143" spans="2:9">
      <c r="B143" s="62" t="s">
        <v>48</v>
      </c>
      <c r="C143" s="43"/>
      <c r="D143" s="153"/>
      <c r="E143" s="109"/>
      <c r="F143" s="86"/>
      <c r="G143" s="155">
        <v>198088</v>
      </c>
      <c r="H143" s="155">
        <f t="shared" si="11"/>
        <v>198088</v>
      </c>
      <c r="I143" s="155"/>
    </row>
    <row r="144" spans="2:9">
      <c r="B144" s="62" t="s">
        <v>49</v>
      </c>
      <c r="C144" s="43">
        <v>2040</v>
      </c>
      <c r="D144" s="153">
        <v>3205000</v>
      </c>
      <c r="E144" s="109">
        <v>2.9100000000000001E-2</v>
      </c>
      <c r="F144" s="86"/>
      <c r="G144" s="155">
        <f t="shared" si="14"/>
        <v>198088</v>
      </c>
      <c r="H144" s="155">
        <f t="shared" si="11"/>
        <v>3403088</v>
      </c>
      <c r="I144" s="155">
        <f>H143+H144</f>
        <v>3601176</v>
      </c>
    </row>
    <row r="145" spans="2:9">
      <c r="B145" s="62" t="s">
        <v>48</v>
      </c>
      <c r="C145" s="43"/>
      <c r="D145" s="153"/>
      <c r="E145" s="109"/>
      <c r="F145" s="86"/>
      <c r="G145" s="155">
        <v>151424</v>
      </c>
      <c r="H145" s="155">
        <f t="shared" si="11"/>
        <v>151424</v>
      </c>
      <c r="I145" s="155"/>
    </row>
    <row r="146" spans="2:9">
      <c r="B146" s="62" t="s">
        <v>49</v>
      </c>
      <c r="C146" s="43">
        <v>2041</v>
      </c>
      <c r="D146" s="153">
        <v>3300000</v>
      </c>
      <c r="E146" s="109">
        <v>2.9700000000000001E-2</v>
      </c>
      <c r="F146" s="86"/>
      <c r="G146" s="155">
        <f>+G145-F145-1</f>
        <v>151423</v>
      </c>
      <c r="H146" s="155">
        <f t="shared" si="11"/>
        <v>3451423</v>
      </c>
      <c r="I146" s="155">
        <f>H145+H146</f>
        <v>3602847</v>
      </c>
    </row>
    <row r="147" spans="2:9">
      <c r="B147" s="62" t="s">
        <v>48</v>
      </c>
      <c r="C147" s="43"/>
      <c r="D147" s="153"/>
      <c r="E147" s="109"/>
      <c r="F147" s="86"/>
      <c r="G147" s="155">
        <v>102385</v>
      </c>
      <c r="H147" s="155">
        <f t="shared" si="11"/>
        <v>102385</v>
      </c>
      <c r="I147" s="155"/>
    </row>
    <row r="148" spans="2:9">
      <c r="B148" s="62" t="s">
        <v>49</v>
      </c>
      <c r="C148" s="43">
        <v>2042</v>
      </c>
      <c r="D148" s="153">
        <v>3395000</v>
      </c>
      <c r="E148" s="109">
        <v>2.9700000000000001E-2</v>
      </c>
      <c r="F148" s="86"/>
      <c r="G148" s="155">
        <f>+G147-F147+1</f>
        <v>102386</v>
      </c>
      <c r="H148" s="155">
        <f t="shared" si="11"/>
        <v>3497386</v>
      </c>
      <c r="I148" s="155">
        <f>H147+H148</f>
        <v>3599771</v>
      </c>
    </row>
    <row r="149" spans="2:9">
      <c r="B149" s="62" t="s">
        <v>48</v>
      </c>
      <c r="C149" s="43"/>
      <c r="D149" s="153"/>
      <c r="E149" s="109"/>
      <c r="F149" s="86"/>
      <c r="G149" s="155">
        <v>51936</v>
      </c>
      <c r="H149" s="155">
        <f t="shared" si="11"/>
        <v>51936</v>
      </c>
      <c r="I149" s="155"/>
    </row>
    <row r="150" spans="2:9">
      <c r="B150" s="62" t="s">
        <v>49</v>
      </c>
      <c r="C150" s="43">
        <v>2043</v>
      </c>
      <c r="D150" s="153">
        <v>3495000</v>
      </c>
      <c r="E150" s="109">
        <v>2.9700000000000001E-2</v>
      </c>
      <c r="F150" s="86"/>
      <c r="G150" s="155">
        <f>+G149-F149-1</f>
        <v>51935</v>
      </c>
      <c r="H150" s="155">
        <f t="shared" si="11"/>
        <v>3546935</v>
      </c>
      <c r="I150" s="155">
        <f>H149+H150</f>
        <v>3598871</v>
      </c>
    </row>
    <row r="151" spans="2:9">
      <c r="B151" s="14"/>
      <c r="C151" s="41"/>
      <c r="D151" s="154"/>
      <c r="E151" s="42"/>
      <c r="F151" s="44"/>
      <c r="G151" s="154"/>
      <c r="H151" s="154"/>
      <c r="I151" s="154"/>
    </row>
    <row r="152" spans="2:9">
      <c r="B152" s="62"/>
      <c r="C152" s="41"/>
      <c r="D152" s="46"/>
      <c r="E152" s="42"/>
      <c r="F152" s="46"/>
      <c r="G152" s="156"/>
      <c r="H152" s="156"/>
      <c r="I152" s="156"/>
    </row>
    <row r="153" spans="2:9">
      <c r="B153" s="45"/>
      <c r="C153" s="45"/>
      <c r="D153" s="88">
        <f>SUM(D109:D151)</f>
        <v>56400000</v>
      </c>
      <c r="E153" s="89"/>
      <c r="F153" s="88">
        <f>SUM(F109:F151)</f>
        <v>0</v>
      </c>
      <c r="G153" s="157">
        <f>SUM(G109:G151)</f>
        <v>17713084</v>
      </c>
      <c r="H153" s="157">
        <f>SUM(H109:H151)</f>
        <v>74113084</v>
      </c>
      <c r="I153" s="157">
        <f>SUM(I109:I151)</f>
        <v>74113084</v>
      </c>
    </row>
    <row r="154" spans="2:9">
      <c r="B154" s="45"/>
      <c r="C154" s="45"/>
      <c r="D154" s="46"/>
      <c r="E154" s="47"/>
      <c r="F154" s="46"/>
      <c r="G154" s="46"/>
      <c r="H154" s="46"/>
      <c r="I154" s="46"/>
    </row>
    <row r="155" spans="2:9">
      <c r="B155" s="64" t="s">
        <v>24</v>
      </c>
      <c r="C155" s="25"/>
      <c r="D155" s="25"/>
      <c r="E155" s="65"/>
      <c r="F155" s="66"/>
      <c r="G155" s="65">
        <v>58015000</v>
      </c>
      <c r="H155" s="66"/>
      <c r="I155" s="67"/>
    </row>
    <row r="156" spans="2:9">
      <c r="B156" s="68" t="s">
        <v>25</v>
      </c>
      <c r="C156" s="60"/>
      <c r="D156" s="14"/>
      <c r="E156" s="57"/>
      <c r="F156" s="58"/>
      <c r="G156" s="63">
        <f>G155-G157</f>
        <v>58015000</v>
      </c>
      <c r="H156" s="58"/>
      <c r="I156" s="69"/>
    </row>
    <row r="157" spans="2:9">
      <c r="B157" s="70" t="s">
        <v>26</v>
      </c>
      <c r="C157" s="71"/>
      <c r="D157" s="24"/>
      <c r="E157" s="72"/>
      <c r="F157" s="59"/>
      <c r="G157" s="73">
        <v>0</v>
      </c>
      <c r="H157" s="59"/>
      <c r="I157" s="74"/>
    </row>
    <row r="158" spans="2:9">
      <c r="B158" s="75"/>
      <c r="C158" s="60"/>
      <c r="D158" s="14"/>
      <c r="E158" s="57"/>
      <c r="F158" s="58"/>
      <c r="G158" s="63"/>
      <c r="H158" s="58"/>
      <c r="I158" s="58"/>
    </row>
    <row r="160" spans="2:9">
      <c r="B160" s="234" t="s">
        <v>34</v>
      </c>
      <c r="C160" s="234"/>
      <c r="D160" s="234"/>
      <c r="E160" s="234"/>
      <c r="F160" s="234"/>
      <c r="G160" s="234"/>
      <c r="H160" s="234"/>
      <c r="I160" s="234"/>
    </row>
    <row r="161" spans="2:9">
      <c r="B161" s="234" t="s">
        <v>23</v>
      </c>
      <c r="C161" s="234"/>
      <c r="D161" s="234"/>
      <c r="E161" s="234"/>
      <c r="F161" s="234"/>
      <c r="G161" s="234"/>
      <c r="H161" s="234"/>
      <c r="I161" s="234"/>
    </row>
    <row r="162" spans="2:9">
      <c r="B162" s="234" t="s">
        <v>93</v>
      </c>
      <c r="C162" s="234"/>
      <c r="D162" s="234"/>
      <c r="E162" s="234"/>
      <c r="F162" s="234"/>
      <c r="G162" s="234"/>
      <c r="H162" s="234"/>
      <c r="I162" s="234"/>
    </row>
    <row r="163" spans="2:9">
      <c r="B163" s="234" t="s">
        <v>92</v>
      </c>
      <c r="C163" s="234"/>
      <c r="D163" s="234"/>
      <c r="E163" s="234"/>
      <c r="F163" s="234"/>
      <c r="G163" s="234"/>
      <c r="H163" s="234"/>
      <c r="I163" s="234"/>
    </row>
    <row r="164" spans="2:9">
      <c r="B164" s="60" t="s">
        <v>90</v>
      </c>
      <c r="C164" s="49"/>
      <c r="D164" s="49"/>
      <c r="E164" s="49"/>
      <c r="F164" s="49"/>
      <c r="G164" s="49"/>
      <c r="H164" s="49"/>
      <c r="I164" s="49"/>
    </row>
    <row r="165" spans="2:9">
      <c r="B165" s="60" t="s">
        <v>91</v>
      </c>
      <c r="C165" s="61"/>
      <c r="D165" s="61"/>
      <c r="E165" s="61"/>
      <c r="F165" s="61"/>
      <c r="G165" s="61"/>
      <c r="H165" s="61"/>
      <c r="I165" s="61"/>
    </row>
    <row r="166" spans="2:9">
      <c r="B166" s="53"/>
      <c r="C166" s="54"/>
      <c r="D166" s="50"/>
      <c r="E166" s="51"/>
      <c r="F166" s="52" t="s">
        <v>15</v>
      </c>
      <c r="G166" s="50"/>
      <c r="H166" s="50"/>
      <c r="I166" s="50"/>
    </row>
    <row r="167" spans="2:9">
      <c r="B167" s="235" t="s">
        <v>19</v>
      </c>
      <c r="C167" s="235"/>
      <c r="D167" s="55" t="s">
        <v>14</v>
      </c>
      <c r="E167" s="56" t="s">
        <v>20</v>
      </c>
      <c r="F167" s="55" t="s">
        <v>21</v>
      </c>
      <c r="G167" s="55" t="s">
        <v>15</v>
      </c>
      <c r="H167" s="55" t="s">
        <v>16</v>
      </c>
      <c r="I167" s="55" t="s">
        <v>22</v>
      </c>
    </row>
    <row r="169" spans="2:9">
      <c r="B169" s="62" t="s">
        <v>48</v>
      </c>
      <c r="C169" s="43"/>
      <c r="D169" s="155"/>
      <c r="E169" s="109"/>
      <c r="F169" s="86"/>
      <c r="G169" s="155">
        <v>1647950</v>
      </c>
      <c r="H169" s="155">
        <f t="shared" ref="H169:H232" si="15">+G169+D169</f>
        <v>1647950</v>
      </c>
      <c r="I169" s="155"/>
    </row>
    <row r="170" spans="2:9">
      <c r="B170" s="62" t="s">
        <v>49</v>
      </c>
      <c r="C170" s="43">
        <v>2023</v>
      </c>
      <c r="D170" s="155">
        <v>0</v>
      </c>
      <c r="E170" s="155">
        <v>0</v>
      </c>
      <c r="F170" s="86"/>
      <c r="G170" s="155">
        <f t="shared" ref="G170" si="16">+G169-F169</f>
        <v>1647950</v>
      </c>
      <c r="H170" s="155">
        <f t="shared" si="15"/>
        <v>1647950</v>
      </c>
      <c r="I170" s="155">
        <f>H169+H170</f>
        <v>3295900</v>
      </c>
    </row>
    <row r="171" spans="2:9">
      <c r="B171" s="62" t="s">
        <v>48</v>
      </c>
      <c r="D171" s="153"/>
      <c r="E171" s="153"/>
      <c r="F171" s="86">
        <f t="shared" ref="F171" si="17">ROUND(+D171*E171/2,2)</f>
        <v>0</v>
      </c>
      <c r="G171" s="155">
        <v>1647950</v>
      </c>
      <c r="H171" s="155">
        <f t="shared" si="15"/>
        <v>1647950</v>
      </c>
      <c r="I171" s="155"/>
    </row>
    <row r="172" spans="2:9">
      <c r="B172" s="62" t="s">
        <v>49</v>
      </c>
      <c r="C172" s="43">
        <v>2024</v>
      </c>
      <c r="D172" s="155">
        <v>0</v>
      </c>
      <c r="E172" s="155">
        <v>0</v>
      </c>
      <c r="F172" s="86"/>
      <c r="G172" s="155">
        <v>1647950</v>
      </c>
      <c r="H172" s="155">
        <f t="shared" si="15"/>
        <v>1647950</v>
      </c>
      <c r="I172" s="155">
        <f>H171+H172</f>
        <v>3295900</v>
      </c>
    </row>
    <row r="173" spans="2:9">
      <c r="B173" s="62" t="s">
        <v>48</v>
      </c>
      <c r="D173" s="153"/>
      <c r="E173" s="153"/>
      <c r="F173" s="86">
        <f>ROUND(+D173*E173/2,2)</f>
        <v>0</v>
      </c>
      <c r="G173" s="155">
        <v>1647950</v>
      </c>
      <c r="H173" s="155">
        <f t="shared" si="15"/>
        <v>1647950</v>
      </c>
      <c r="I173" s="155"/>
    </row>
    <row r="174" spans="2:9">
      <c r="B174" s="62" t="s">
        <v>49</v>
      </c>
      <c r="C174" s="43">
        <v>2025</v>
      </c>
      <c r="D174" s="155">
        <v>0</v>
      </c>
      <c r="E174" s="155">
        <v>0</v>
      </c>
      <c r="F174" s="86"/>
      <c r="G174" s="155">
        <v>1647950</v>
      </c>
      <c r="H174" s="155">
        <f t="shared" si="15"/>
        <v>1647950</v>
      </c>
      <c r="I174" s="155">
        <f>H173+H174</f>
        <v>3295900</v>
      </c>
    </row>
    <row r="175" spans="2:9">
      <c r="B175" s="62" t="s">
        <v>48</v>
      </c>
      <c r="D175" s="153"/>
      <c r="E175" s="153"/>
      <c r="F175" s="86">
        <f>ROUND(+D175*E175/2,2)</f>
        <v>0</v>
      </c>
      <c r="G175" s="155">
        <v>1647950</v>
      </c>
      <c r="H175" s="155">
        <f t="shared" si="15"/>
        <v>1647950</v>
      </c>
      <c r="I175" s="155"/>
    </row>
    <row r="176" spans="2:9">
      <c r="B176" s="62" t="s">
        <v>49</v>
      </c>
      <c r="C176" s="43">
        <v>2026</v>
      </c>
      <c r="D176" s="155">
        <v>0</v>
      </c>
      <c r="E176" s="155">
        <v>0</v>
      </c>
      <c r="F176" s="86"/>
      <c r="G176" s="155">
        <v>1647950</v>
      </c>
      <c r="H176" s="155">
        <f t="shared" si="15"/>
        <v>1647950</v>
      </c>
      <c r="I176" s="155">
        <f>H175+H176</f>
        <v>3295900</v>
      </c>
    </row>
    <row r="177" spans="2:9">
      <c r="B177" s="62" t="s">
        <v>48</v>
      </c>
      <c r="D177" s="153"/>
      <c r="E177" s="153"/>
      <c r="F177" s="86">
        <f>ROUND(+D177*E177/2,2)</f>
        <v>0</v>
      </c>
      <c r="G177" s="155">
        <v>1647950</v>
      </c>
      <c r="H177" s="155">
        <f t="shared" si="15"/>
        <v>1647950</v>
      </c>
      <c r="I177" s="155"/>
    </row>
    <row r="178" spans="2:9">
      <c r="B178" s="62" t="s">
        <v>49</v>
      </c>
      <c r="C178" s="43">
        <v>2027</v>
      </c>
      <c r="D178" s="155">
        <v>0</v>
      </c>
      <c r="E178" s="155">
        <v>0</v>
      </c>
      <c r="F178" s="86"/>
      <c r="G178" s="155">
        <v>1647950</v>
      </c>
      <c r="H178" s="155">
        <f t="shared" si="15"/>
        <v>1647950</v>
      </c>
      <c r="I178" s="155">
        <f>H177+H178</f>
        <v>3295900</v>
      </c>
    </row>
    <row r="179" spans="2:9">
      <c r="B179" s="62" t="s">
        <v>48</v>
      </c>
      <c r="D179" s="153"/>
      <c r="E179" s="109"/>
      <c r="F179" s="86">
        <f>ROUND(+D179*E179/2,2)</f>
        <v>0</v>
      </c>
      <c r="G179" s="155">
        <v>1647950</v>
      </c>
      <c r="H179" s="155">
        <f t="shared" si="15"/>
        <v>1647950</v>
      </c>
      <c r="I179" s="155"/>
    </row>
    <row r="180" spans="2:9">
      <c r="B180" s="62" t="s">
        <v>49</v>
      </c>
      <c r="C180" s="43">
        <v>2028</v>
      </c>
      <c r="D180" s="155">
        <v>800000</v>
      </c>
      <c r="E180" s="109">
        <v>0.05</v>
      </c>
      <c r="F180" s="86"/>
      <c r="G180" s="155">
        <v>1647950</v>
      </c>
      <c r="H180" s="155">
        <f t="shared" si="15"/>
        <v>2447950</v>
      </c>
      <c r="I180" s="155">
        <f>H179+H180</f>
        <v>4095900</v>
      </c>
    </row>
    <row r="181" spans="2:9">
      <c r="B181" s="62" t="s">
        <v>48</v>
      </c>
      <c r="D181" s="153"/>
      <c r="E181" s="109"/>
      <c r="F181" s="86">
        <f>ROUND(+D181*E181/2,2)</f>
        <v>0</v>
      </c>
      <c r="G181" s="155">
        <v>1627950</v>
      </c>
      <c r="H181" s="155">
        <f t="shared" si="15"/>
        <v>1627950</v>
      </c>
      <c r="I181" s="155"/>
    </row>
    <row r="182" spans="2:9">
      <c r="B182" s="62" t="s">
        <v>49</v>
      </c>
      <c r="C182" s="43">
        <v>2029</v>
      </c>
      <c r="D182" s="155">
        <v>1600000</v>
      </c>
      <c r="E182" s="109">
        <v>0.05</v>
      </c>
      <c r="F182" s="86"/>
      <c r="G182" s="155">
        <f t="shared" ref="G182" si="18">+G181-F181</f>
        <v>1627950</v>
      </c>
      <c r="H182" s="155">
        <f t="shared" si="15"/>
        <v>3227950</v>
      </c>
      <c r="I182" s="155">
        <f>H181+H182</f>
        <v>4855900</v>
      </c>
    </row>
    <row r="183" spans="2:9">
      <c r="B183" s="62" t="s">
        <v>48</v>
      </c>
      <c r="D183" s="153"/>
      <c r="E183" s="109"/>
      <c r="F183" s="86">
        <f>ROUND(+D183*E183/2,2)</f>
        <v>0</v>
      </c>
      <c r="G183" s="155">
        <v>1587950</v>
      </c>
      <c r="H183" s="155">
        <f t="shared" si="15"/>
        <v>1587950</v>
      </c>
      <c r="I183" s="155"/>
    </row>
    <row r="184" spans="2:9">
      <c r="B184" s="62" t="s">
        <v>49</v>
      </c>
      <c r="C184" s="43">
        <v>2030</v>
      </c>
      <c r="D184" s="155">
        <v>2600000</v>
      </c>
      <c r="E184" s="109">
        <v>0.05</v>
      </c>
      <c r="F184" s="86"/>
      <c r="G184" s="155">
        <f t="shared" ref="G184" si="19">+G183-F183</f>
        <v>1587950</v>
      </c>
      <c r="H184" s="155">
        <f t="shared" si="15"/>
        <v>4187950</v>
      </c>
      <c r="I184" s="155">
        <f>H183+H184</f>
        <v>5775900</v>
      </c>
    </row>
    <row r="185" spans="2:9">
      <c r="B185" s="62" t="s">
        <v>48</v>
      </c>
      <c r="D185" s="153"/>
      <c r="E185" s="109"/>
      <c r="F185" s="86">
        <f>ROUND(+D185*E185/2,2)</f>
        <v>0</v>
      </c>
      <c r="G185" s="155">
        <v>1522950</v>
      </c>
      <c r="H185" s="155">
        <f t="shared" si="15"/>
        <v>1522950</v>
      </c>
      <c r="I185" s="155"/>
    </row>
    <row r="186" spans="2:9">
      <c r="B186" s="62" t="s">
        <v>49</v>
      </c>
      <c r="C186" s="43">
        <v>2031</v>
      </c>
      <c r="D186" s="155">
        <v>3435000</v>
      </c>
      <c r="E186" s="109">
        <v>0.05</v>
      </c>
      <c r="F186" s="86"/>
      <c r="G186" s="155">
        <f>+G185-F185+1</f>
        <v>1522951</v>
      </c>
      <c r="H186" s="155">
        <f t="shared" si="15"/>
        <v>4957951</v>
      </c>
      <c r="I186" s="155">
        <f>H185+H186</f>
        <v>6480901</v>
      </c>
    </row>
    <row r="187" spans="2:9">
      <c r="B187" s="62" t="s">
        <v>48</v>
      </c>
      <c r="D187" s="153"/>
      <c r="E187" s="109"/>
      <c r="F187" s="86">
        <f>ROUND(+D187*E187/2,2)</f>
        <v>0</v>
      </c>
      <c r="G187" s="155">
        <v>1437075</v>
      </c>
      <c r="H187" s="155">
        <f t="shared" si="15"/>
        <v>1437075</v>
      </c>
      <c r="I187" s="155"/>
    </row>
    <row r="188" spans="2:9">
      <c r="B188" s="62" t="s">
        <v>49</v>
      </c>
      <c r="C188" s="43">
        <v>2032</v>
      </c>
      <c r="D188" s="155">
        <v>3895000</v>
      </c>
      <c r="E188" s="109">
        <v>0.05</v>
      </c>
      <c r="F188" s="86"/>
      <c r="G188" s="155">
        <f t="shared" ref="G188" si="20">+G187-F187</f>
        <v>1437075</v>
      </c>
      <c r="H188" s="155">
        <f t="shared" si="15"/>
        <v>5332075</v>
      </c>
      <c r="I188" s="155">
        <f>H187+H188</f>
        <v>6769150</v>
      </c>
    </row>
    <row r="189" spans="2:9">
      <c r="B189" s="62" t="s">
        <v>48</v>
      </c>
      <c r="D189" s="153"/>
      <c r="E189" s="109"/>
      <c r="F189" s="86">
        <f>ROUND(+D189*E189/2,2)</f>
        <v>0</v>
      </c>
      <c r="G189" s="155">
        <v>1339700</v>
      </c>
      <c r="H189" s="155">
        <f t="shared" si="15"/>
        <v>1339700</v>
      </c>
      <c r="I189" s="155"/>
    </row>
    <row r="190" spans="2:9">
      <c r="B190" s="62" t="s">
        <v>49</v>
      </c>
      <c r="C190" s="43">
        <v>2033</v>
      </c>
      <c r="D190" s="155">
        <v>4395000</v>
      </c>
      <c r="E190" s="109">
        <v>0.05</v>
      </c>
      <c r="F190" s="86"/>
      <c r="G190" s="155">
        <f t="shared" ref="G190" si="21">+G189-F189</f>
        <v>1339700</v>
      </c>
      <c r="H190" s="155">
        <f t="shared" si="15"/>
        <v>5734700</v>
      </c>
      <c r="I190" s="155">
        <f>H189+H190</f>
        <v>7074400</v>
      </c>
    </row>
    <row r="191" spans="2:9">
      <c r="B191" s="62" t="s">
        <v>48</v>
      </c>
      <c r="D191" s="153"/>
      <c r="E191" s="109"/>
      <c r="F191" s="86">
        <f>ROUND(+D191*E191/2,2)</f>
        <v>0</v>
      </c>
      <c r="G191" s="155">
        <v>1229825</v>
      </c>
      <c r="H191" s="155">
        <f t="shared" si="15"/>
        <v>1229825</v>
      </c>
      <c r="I191" s="155"/>
    </row>
    <row r="192" spans="2:9">
      <c r="B192" s="62" t="s">
        <v>49</v>
      </c>
      <c r="C192" s="43">
        <v>2034</v>
      </c>
      <c r="D192" s="155">
        <v>4925000</v>
      </c>
      <c r="E192" s="109">
        <v>0.05</v>
      </c>
      <c r="F192" s="86"/>
      <c r="G192" s="155">
        <f>+G191-F191+1</f>
        <v>1229826</v>
      </c>
      <c r="H192" s="155">
        <f t="shared" si="15"/>
        <v>6154826</v>
      </c>
      <c r="I192" s="155">
        <f>H191+H192</f>
        <v>7384651</v>
      </c>
    </row>
    <row r="193" spans="2:9">
      <c r="B193" s="62" t="s">
        <v>48</v>
      </c>
      <c r="D193" s="153"/>
      <c r="E193" s="109"/>
      <c r="F193" s="86">
        <f>ROUND(+D193*E193/2,2)</f>
        <v>0</v>
      </c>
      <c r="G193" s="155">
        <v>1106700</v>
      </c>
      <c r="H193" s="155">
        <f t="shared" si="15"/>
        <v>1106700</v>
      </c>
      <c r="I193" s="155"/>
    </row>
    <row r="194" spans="2:9">
      <c r="B194" s="62" t="s">
        <v>49</v>
      </c>
      <c r="C194" s="43">
        <v>2035</v>
      </c>
      <c r="D194" s="155">
        <v>5540000</v>
      </c>
      <c r="E194" s="109">
        <v>0.05</v>
      </c>
      <c r="F194" s="86"/>
      <c r="G194" s="155">
        <f t="shared" ref="G194" si="22">+G193-F193</f>
        <v>1106700</v>
      </c>
      <c r="H194" s="155">
        <f t="shared" si="15"/>
        <v>6646700</v>
      </c>
      <c r="I194" s="155">
        <f>H193+H194</f>
        <v>7753400</v>
      </c>
    </row>
    <row r="195" spans="2:9">
      <c r="B195" s="62" t="s">
        <v>48</v>
      </c>
      <c r="D195" s="153"/>
      <c r="E195" s="109"/>
      <c r="F195" s="86">
        <f>ROUND(+D195*E195/2,2)</f>
        <v>0</v>
      </c>
      <c r="G195" s="155">
        <v>968200</v>
      </c>
      <c r="H195" s="155">
        <f t="shared" si="15"/>
        <v>968200</v>
      </c>
      <c r="I195" s="155"/>
    </row>
    <row r="196" spans="2:9">
      <c r="B196" s="62" t="s">
        <v>49</v>
      </c>
      <c r="C196" s="43">
        <v>2036</v>
      </c>
      <c r="D196" s="153">
        <v>6160000</v>
      </c>
      <c r="E196" s="109">
        <v>0.05</v>
      </c>
      <c r="F196" s="86"/>
      <c r="G196" s="155">
        <f t="shared" ref="G196" si="23">+G195-F195</f>
        <v>968200</v>
      </c>
      <c r="H196" s="155">
        <f t="shared" si="15"/>
        <v>7128200</v>
      </c>
      <c r="I196" s="155">
        <f>H195+H196</f>
        <v>8096400</v>
      </c>
    </row>
    <row r="197" spans="2:9">
      <c r="B197" s="62" t="s">
        <v>48</v>
      </c>
      <c r="C197" s="43"/>
      <c r="D197" s="153"/>
      <c r="E197" s="109"/>
      <c r="F197" s="86"/>
      <c r="G197" s="155">
        <v>814200</v>
      </c>
      <c r="H197" s="155">
        <f t="shared" si="15"/>
        <v>814200</v>
      </c>
      <c r="I197" s="155"/>
    </row>
    <row r="198" spans="2:9">
      <c r="B198" s="62" t="s">
        <v>49</v>
      </c>
      <c r="C198" s="43">
        <v>2037</v>
      </c>
      <c r="D198" s="153">
        <v>6745000</v>
      </c>
      <c r="E198" s="109">
        <v>2.9100000000000001E-2</v>
      </c>
      <c r="F198" s="86"/>
      <c r="G198" s="155">
        <f t="shared" ref="G198" si="24">+G197-F197</f>
        <v>814200</v>
      </c>
      <c r="H198" s="155">
        <f t="shared" si="15"/>
        <v>7559200</v>
      </c>
      <c r="I198" s="155">
        <f>H197+H198</f>
        <v>8373400</v>
      </c>
    </row>
    <row r="199" spans="2:9">
      <c r="B199" s="62" t="s">
        <v>48</v>
      </c>
      <c r="C199" s="43"/>
      <c r="D199" s="153"/>
      <c r="E199" s="109"/>
      <c r="F199" s="86"/>
      <c r="G199" s="155">
        <v>679300</v>
      </c>
      <c r="H199" s="155">
        <f t="shared" si="15"/>
        <v>679300</v>
      </c>
      <c r="I199" s="155"/>
    </row>
    <row r="200" spans="2:9">
      <c r="B200" s="62" t="s">
        <v>49</v>
      </c>
      <c r="C200" s="43">
        <v>2038</v>
      </c>
      <c r="D200" s="153">
        <v>7455000</v>
      </c>
      <c r="E200" s="109">
        <v>0.04</v>
      </c>
      <c r="F200" s="86"/>
      <c r="G200" s="155">
        <f>+G199-F199+1</f>
        <v>679301</v>
      </c>
      <c r="H200" s="155">
        <f t="shared" si="15"/>
        <v>8134301</v>
      </c>
      <c r="I200" s="155">
        <f>H199+H200</f>
        <v>8813601</v>
      </c>
    </row>
    <row r="201" spans="2:9">
      <c r="B201" s="62" t="s">
        <v>48</v>
      </c>
      <c r="C201" s="43"/>
      <c r="D201" s="153"/>
      <c r="E201" s="109"/>
      <c r="F201" s="86"/>
      <c r="G201" s="155">
        <v>530200</v>
      </c>
      <c r="H201" s="155">
        <f t="shared" si="15"/>
        <v>530200</v>
      </c>
      <c r="I201" s="155"/>
    </row>
    <row r="202" spans="2:9">
      <c r="B202" s="62" t="s">
        <v>49</v>
      </c>
      <c r="C202" s="43">
        <v>2039</v>
      </c>
      <c r="D202" s="153">
        <v>8090000</v>
      </c>
      <c r="E202" s="109">
        <v>0.04</v>
      </c>
      <c r="F202" s="86"/>
      <c r="G202" s="155">
        <f>+G201-F201-1</f>
        <v>530199</v>
      </c>
      <c r="H202" s="155">
        <f t="shared" si="15"/>
        <v>8620199</v>
      </c>
      <c r="I202" s="155">
        <f>H201+H202</f>
        <v>9150399</v>
      </c>
    </row>
    <row r="203" spans="2:9">
      <c r="B203" s="62" t="s">
        <v>48</v>
      </c>
      <c r="C203" s="43"/>
      <c r="D203" s="153"/>
      <c r="E203" s="109"/>
      <c r="F203" s="86"/>
      <c r="G203" s="155">
        <v>368400</v>
      </c>
      <c r="H203" s="155">
        <f t="shared" si="15"/>
        <v>368400</v>
      </c>
      <c r="I203" s="155"/>
    </row>
    <row r="204" spans="2:9">
      <c r="B204" s="62" t="s">
        <v>49</v>
      </c>
      <c r="C204" s="43">
        <v>2040</v>
      </c>
      <c r="D204" s="153">
        <v>8785000</v>
      </c>
      <c r="E204" s="109">
        <v>0.04</v>
      </c>
      <c r="F204" s="86"/>
      <c r="G204" s="155">
        <f t="shared" ref="G204" si="25">+G203-F203</f>
        <v>368400</v>
      </c>
      <c r="H204" s="155">
        <f t="shared" si="15"/>
        <v>9153400</v>
      </c>
      <c r="I204" s="155">
        <f>H203+H204</f>
        <v>9521800</v>
      </c>
    </row>
    <row r="205" spans="2:9">
      <c r="B205" s="62" t="s">
        <v>48</v>
      </c>
      <c r="C205" s="43"/>
      <c r="D205" s="153"/>
      <c r="E205" s="109"/>
      <c r="F205" s="86"/>
      <c r="G205" s="155">
        <v>192700</v>
      </c>
      <c r="H205" s="155">
        <f t="shared" si="15"/>
        <v>192700</v>
      </c>
      <c r="I205" s="155"/>
    </row>
    <row r="206" spans="2:9">
      <c r="B206" s="62" t="s">
        <v>49</v>
      </c>
      <c r="C206" s="43">
        <v>2041</v>
      </c>
      <c r="D206" s="153">
        <v>9635000</v>
      </c>
      <c r="E206" s="109">
        <v>0.04</v>
      </c>
      <c r="F206" s="86"/>
      <c r="G206" s="155">
        <f>+G205-F205-1</f>
        <v>192699</v>
      </c>
      <c r="H206" s="155">
        <f t="shared" si="15"/>
        <v>9827699</v>
      </c>
      <c r="I206" s="155">
        <f>H205+H206</f>
        <v>10020399</v>
      </c>
    </row>
    <row r="207" spans="2:9">
      <c r="B207" s="62" t="s">
        <v>48</v>
      </c>
      <c r="C207" s="43"/>
      <c r="D207" s="153"/>
      <c r="E207" s="109"/>
      <c r="F207" s="86"/>
      <c r="G207" s="155">
        <v>2680372</v>
      </c>
      <c r="H207" s="155">
        <f t="shared" si="15"/>
        <v>2680372</v>
      </c>
      <c r="I207" s="155"/>
    </row>
    <row r="208" spans="2:9">
      <c r="B208" s="62" t="s">
        <v>49</v>
      </c>
      <c r="C208" s="43">
        <v>2042</v>
      </c>
      <c r="D208" s="153">
        <v>5064257</v>
      </c>
      <c r="E208" s="109">
        <v>3.5000000000000003E-2</v>
      </c>
      <c r="F208" s="86"/>
      <c r="G208" s="155">
        <f>+G207-F207+1</f>
        <v>2680373</v>
      </c>
      <c r="H208" s="155">
        <f t="shared" si="15"/>
        <v>7744630</v>
      </c>
      <c r="I208" s="155">
        <f>H207+H208</f>
        <v>10425002</v>
      </c>
    </row>
    <row r="209" spans="2:9">
      <c r="B209" s="62" t="s">
        <v>48</v>
      </c>
      <c r="C209" s="43"/>
      <c r="D209" s="153"/>
      <c r="E209" s="109"/>
      <c r="F209" s="86"/>
      <c r="G209" s="155">
        <v>2908005</v>
      </c>
      <c r="H209" s="155">
        <f t="shared" si="15"/>
        <v>2908005</v>
      </c>
      <c r="I209" s="155"/>
    </row>
    <row r="210" spans="2:9">
      <c r="B210" s="62" t="s">
        <v>49</v>
      </c>
      <c r="C210" s="43">
        <v>2043</v>
      </c>
      <c r="D210" s="153">
        <v>5018989</v>
      </c>
      <c r="E210" s="109">
        <v>3.5999999999999997E-2</v>
      </c>
      <c r="F210" s="86"/>
      <c r="G210" s="155">
        <f>+G209-F209-1</f>
        <v>2908004</v>
      </c>
      <c r="H210" s="155">
        <f t="shared" si="15"/>
        <v>7926993</v>
      </c>
      <c r="I210" s="155">
        <f>H209+H210</f>
        <v>10834998</v>
      </c>
    </row>
    <row r="211" spans="2:9">
      <c r="B211" s="62" t="s">
        <v>48</v>
      </c>
      <c r="C211" s="41"/>
      <c r="D211" s="156"/>
      <c r="E211" s="47"/>
      <c r="F211" s="46"/>
      <c r="G211" s="155">
        <v>3482506</v>
      </c>
      <c r="H211" s="155">
        <f t="shared" si="15"/>
        <v>3482506</v>
      </c>
      <c r="I211" s="156"/>
    </row>
    <row r="212" spans="2:9">
      <c r="B212" s="62" t="s">
        <v>49</v>
      </c>
      <c r="C212" s="41">
        <v>2044</v>
      </c>
      <c r="D212" s="153">
        <v>5454988</v>
      </c>
      <c r="E212" s="109">
        <v>3.6400000000000002E-2</v>
      </c>
      <c r="F212" s="46"/>
      <c r="G212" s="155">
        <f>+G211-F211-1</f>
        <v>3482505</v>
      </c>
      <c r="H212" s="155">
        <f t="shared" si="15"/>
        <v>8937493</v>
      </c>
      <c r="I212" s="155">
        <f>H211+H212</f>
        <v>12419999</v>
      </c>
    </row>
    <row r="213" spans="2:9">
      <c r="B213" s="62" t="s">
        <v>48</v>
      </c>
      <c r="C213" s="41"/>
      <c r="D213" s="156"/>
      <c r="E213" s="47"/>
      <c r="F213" s="46"/>
      <c r="G213" s="155">
        <v>3743867</v>
      </c>
      <c r="H213" s="155">
        <f t="shared" si="15"/>
        <v>3743867</v>
      </c>
      <c r="I213" s="156"/>
    </row>
    <row r="214" spans="2:9">
      <c r="B214" s="62" t="s">
        <v>49</v>
      </c>
      <c r="C214" s="41">
        <v>2045</v>
      </c>
      <c r="D214" s="153">
        <v>5372265</v>
      </c>
      <c r="E214" s="109">
        <v>3.6999999999999998E-2</v>
      </c>
      <c r="F214" s="46"/>
      <c r="G214" s="155">
        <f t="shared" ref="G214:G236" si="26">+G213-F213-1</f>
        <v>3743866</v>
      </c>
      <c r="H214" s="155">
        <f t="shared" si="15"/>
        <v>9116131</v>
      </c>
      <c r="I214" s="155">
        <f>H213+H214</f>
        <v>12859998</v>
      </c>
    </row>
    <row r="215" spans="2:9">
      <c r="B215" s="62" t="s">
        <v>48</v>
      </c>
      <c r="C215" s="41"/>
      <c r="D215" s="156"/>
      <c r="E215" s="47"/>
      <c r="F215" s="46"/>
      <c r="G215" s="155">
        <v>3984386</v>
      </c>
      <c r="H215" s="155">
        <f t="shared" si="15"/>
        <v>3984386</v>
      </c>
      <c r="I215" s="156"/>
    </row>
    <row r="216" spans="2:9">
      <c r="B216" s="62" t="s">
        <v>49</v>
      </c>
      <c r="C216" s="41">
        <v>2046</v>
      </c>
      <c r="D216" s="153">
        <v>5286227</v>
      </c>
      <c r="E216" s="109">
        <v>3.7400000000000003E-2</v>
      </c>
      <c r="F216" s="46"/>
      <c r="G216" s="155">
        <f t="shared" si="26"/>
        <v>3984385</v>
      </c>
      <c r="H216" s="155">
        <f t="shared" si="15"/>
        <v>9270612</v>
      </c>
      <c r="I216" s="155">
        <f>H215+H216</f>
        <v>13254998</v>
      </c>
    </row>
    <row r="217" spans="2:9">
      <c r="B217" s="62" t="s">
        <v>48</v>
      </c>
      <c r="C217" s="41"/>
      <c r="D217" s="156"/>
      <c r="E217" s="47"/>
      <c r="F217" s="46"/>
      <c r="G217" s="155">
        <v>4261671</v>
      </c>
      <c r="H217" s="155">
        <f t="shared" si="15"/>
        <v>4261671</v>
      </c>
      <c r="I217" s="156"/>
    </row>
    <row r="218" spans="2:9">
      <c r="B218" s="62" t="s">
        <v>49</v>
      </c>
      <c r="C218" s="41">
        <v>2047</v>
      </c>
      <c r="D218" s="153">
        <v>5276568</v>
      </c>
      <c r="E218" s="109">
        <v>3.7600000000000001E-2</v>
      </c>
      <c r="F218" s="46"/>
      <c r="G218" s="155">
        <f t="shared" si="26"/>
        <v>4261670</v>
      </c>
      <c r="H218" s="155">
        <f t="shared" si="15"/>
        <v>9538238</v>
      </c>
      <c r="I218" s="155">
        <f>H217+H218</f>
        <v>13799909</v>
      </c>
    </row>
    <row r="219" spans="2:9">
      <c r="B219" s="62" t="s">
        <v>48</v>
      </c>
      <c r="C219" s="41"/>
      <c r="D219" s="153"/>
      <c r="E219" s="47"/>
      <c r="F219" s="46"/>
      <c r="G219" s="155">
        <v>4506195</v>
      </c>
      <c r="H219" s="155">
        <f t="shared" si="15"/>
        <v>4506195</v>
      </c>
      <c r="I219" s="156"/>
    </row>
    <row r="220" spans="2:9">
      <c r="B220" s="62" t="s">
        <v>49</v>
      </c>
      <c r="C220" s="41">
        <v>2048</v>
      </c>
      <c r="D220" s="153">
        <v>5212609</v>
      </c>
      <c r="E220" s="109">
        <v>3.78E-2</v>
      </c>
      <c r="F220" s="46"/>
      <c r="G220" s="155">
        <f t="shared" si="26"/>
        <v>4506194</v>
      </c>
      <c r="H220" s="155">
        <f t="shared" si="15"/>
        <v>9718803</v>
      </c>
      <c r="I220" s="155">
        <f>H219+H220</f>
        <v>14224998</v>
      </c>
    </row>
    <row r="221" spans="2:9">
      <c r="B221" s="62" t="s">
        <v>48</v>
      </c>
      <c r="C221" s="41"/>
      <c r="D221" s="153"/>
      <c r="F221" s="46"/>
      <c r="G221" s="155">
        <v>4764915</v>
      </c>
      <c r="H221" s="155">
        <f t="shared" si="15"/>
        <v>4764915</v>
      </c>
      <c r="I221" s="156"/>
    </row>
    <row r="222" spans="2:9">
      <c r="B222" s="62" t="s">
        <v>49</v>
      </c>
      <c r="C222" s="41">
        <v>2049</v>
      </c>
      <c r="D222" s="153">
        <v>5155169</v>
      </c>
      <c r="E222" s="109">
        <v>3.7999999999999999E-2</v>
      </c>
      <c r="F222" s="46"/>
      <c r="G222" s="155">
        <f t="shared" si="26"/>
        <v>4764914</v>
      </c>
      <c r="H222" s="155">
        <f t="shared" si="15"/>
        <v>9920083</v>
      </c>
      <c r="I222" s="155">
        <f>H221+H222</f>
        <v>14684998</v>
      </c>
    </row>
    <row r="223" spans="2:9">
      <c r="B223" s="62" t="s">
        <v>48</v>
      </c>
      <c r="C223" s="41"/>
      <c r="D223" s="153"/>
      <c r="E223" s="47"/>
      <c r="F223" s="46"/>
      <c r="G223" s="155">
        <v>5073244</v>
      </c>
      <c r="H223" s="155">
        <f t="shared" si="15"/>
        <v>5073244</v>
      </c>
      <c r="I223" s="156"/>
    </row>
    <row r="224" spans="2:9">
      <c r="B224" s="62" t="s">
        <v>49</v>
      </c>
      <c r="C224" s="41">
        <v>2050</v>
      </c>
      <c r="D224" s="153">
        <v>5138511</v>
      </c>
      <c r="E224" s="109">
        <v>3.8199999999999998E-2</v>
      </c>
      <c r="F224" s="46"/>
      <c r="G224" s="155">
        <f t="shared" si="26"/>
        <v>5073243</v>
      </c>
      <c r="H224" s="155">
        <f t="shared" si="15"/>
        <v>10211754</v>
      </c>
      <c r="I224" s="155">
        <f>H223+H224</f>
        <v>15284998</v>
      </c>
    </row>
    <row r="225" spans="2:9">
      <c r="B225" s="62" t="s">
        <v>48</v>
      </c>
      <c r="C225" s="41"/>
      <c r="D225" s="153"/>
      <c r="E225" s="109"/>
      <c r="F225" s="46"/>
      <c r="G225" s="155">
        <v>5574722</v>
      </c>
      <c r="H225" s="155">
        <f t="shared" si="15"/>
        <v>5574722</v>
      </c>
      <c r="I225" s="156"/>
    </row>
    <row r="226" spans="2:9">
      <c r="B226" s="62" t="s">
        <v>49</v>
      </c>
      <c r="C226" s="41">
        <v>2051</v>
      </c>
      <c r="D226" s="153">
        <v>5290557</v>
      </c>
      <c r="E226" s="109">
        <v>3.8399999999999997E-2</v>
      </c>
      <c r="F226" s="46"/>
      <c r="G226" s="155">
        <f t="shared" si="26"/>
        <v>5574721</v>
      </c>
      <c r="H226" s="155">
        <f t="shared" si="15"/>
        <v>10865278</v>
      </c>
      <c r="I226" s="155">
        <f>H225+H226</f>
        <v>16440000</v>
      </c>
    </row>
    <row r="227" spans="2:9">
      <c r="B227" s="62" t="s">
        <v>48</v>
      </c>
      <c r="C227" s="41"/>
      <c r="D227" s="153"/>
      <c r="E227" s="47"/>
      <c r="F227" s="46"/>
      <c r="G227" s="155">
        <v>5871442</v>
      </c>
      <c r="H227" s="155">
        <f t="shared" si="15"/>
        <v>5871442</v>
      </c>
      <c r="I227" s="156"/>
    </row>
    <row r="228" spans="2:9">
      <c r="B228" s="62" t="s">
        <v>49</v>
      </c>
      <c r="C228" s="41">
        <v>2052</v>
      </c>
      <c r="D228" s="153">
        <v>5202115</v>
      </c>
      <c r="E228" s="109">
        <v>3.8699999999999998E-2</v>
      </c>
      <c r="F228" s="46"/>
      <c r="G228" s="155">
        <f t="shared" si="26"/>
        <v>5871441</v>
      </c>
      <c r="H228" s="155">
        <f t="shared" si="15"/>
        <v>11073556</v>
      </c>
      <c r="I228" s="155">
        <f>H227+H228</f>
        <v>16944998</v>
      </c>
    </row>
    <row r="229" spans="2:9">
      <c r="B229" s="62" t="s">
        <v>48</v>
      </c>
      <c r="C229" s="41"/>
      <c r="D229" s="153"/>
      <c r="E229" s="47"/>
      <c r="F229" s="46"/>
      <c r="G229" s="155">
        <v>6202016</v>
      </c>
      <c r="H229" s="155">
        <f t="shared" si="15"/>
        <v>6202016</v>
      </c>
      <c r="I229" s="156"/>
    </row>
    <row r="230" spans="2:9">
      <c r="B230" s="62" t="s">
        <v>49</v>
      </c>
      <c r="C230" s="41">
        <v>2053</v>
      </c>
      <c r="D230" s="153">
        <v>5155967</v>
      </c>
      <c r="E230" s="109">
        <v>3.8899999999999997E-2</v>
      </c>
      <c r="F230" s="46"/>
      <c r="G230" s="155">
        <f t="shared" si="26"/>
        <v>6202015</v>
      </c>
      <c r="H230" s="155">
        <f t="shared" si="15"/>
        <v>11357982</v>
      </c>
      <c r="I230" s="155">
        <f>H229+H230</f>
        <v>17559998</v>
      </c>
    </row>
    <row r="231" spans="2:9">
      <c r="B231" s="62" t="s">
        <v>48</v>
      </c>
      <c r="C231" s="41"/>
      <c r="D231" s="153"/>
      <c r="E231" s="47"/>
      <c r="F231" s="46"/>
      <c r="G231" s="155">
        <v>6504180</v>
      </c>
      <c r="H231" s="155">
        <f t="shared" si="15"/>
        <v>6504180</v>
      </c>
      <c r="I231" s="156"/>
    </row>
    <row r="232" spans="2:9">
      <c r="B232" s="62" t="s">
        <v>49</v>
      </c>
      <c r="C232" s="41">
        <v>2054</v>
      </c>
      <c r="D232" s="153">
        <v>5076640</v>
      </c>
      <c r="E232" s="109">
        <v>3.9100000000000003E-2</v>
      </c>
      <c r="F232" s="46"/>
      <c r="G232" s="155">
        <f t="shared" si="26"/>
        <v>6504179</v>
      </c>
      <c r="H232" s="155">
        <f t="shared" si="15"/>
        <v>11580819</v>
      </c>
      <c r="I232" s="155">
        <f>H231+H232</f>
        <v>18084999</v>
      </c>
    </row>
    <row r="233" spans="2:9">
      <c r="B233" s="62" t="s">
        <v>48</v>
      </c>
      <c r="C233" s="41"/>
      <c r="D233" s="153"/>
      <c r="E233" s="47"/>
      <c r="F233" s="46"/>
      <c r="G233" s="155">
        <v>6805182</v>
      </c>
      <c r="H233" s="155">
        <f t="shared" ref="H233:H236" si="27">+G233+D233</f>
        <v>6805182</v>
      </c>
      <c r="I233" s="156"/>
    </row>
    <row r="234" spans="2:9">
      <c r="B234" s="62" t="s">
        <v>49</v>
      </c>
      <c r="C234" s="41">
        <v>2055</v>
      </c>
      <c r="D234" s="153">
        <v>4989636</v>
      </c>
      <c r="E234" s="109">
        <v>3.9300000000000002E-2</v>
      </c>
      <c r="F234" s="46"/>
      <c r="G234" s="155">
        <f t="shared" si="26"/>
        <v>6805181</v>
      </c>
      <c r="H234" s="155">
        <f t="shared" si="27"/>
        <v>11794817</v>
      </c>
      <c r="I234" s="155">
        <f>H233+H234</f>
        <v>18599999</v>
      </c>
    </row>
    <row r="235" spans="2:9">
      <c r="B235" s="62" t="s">
        <v>48</v>
      </c>
      <c r="C235" s="41"/>
      <c r="D235" s="153"/>
      <c r="E235" s="47"/>
      <c r="F235" s="46"/>
      <c r="G235" s="155">
        <v>7104575</v>
      </c>
      <c r="H235" s="155">
        <f t="shared" si="27"/>
        <v>7104575</v>
      </c>
      <c r="I235" s="156"/>
    </row>
    <row r="236" spans="2:9">
      <c r="B236" s="62" t="s">
        <v>49</v>
      </c>
      <c r="C236" s="41">
        <v>2056</v>
      </c>
      <c r="D236" s="153">
        <v>4895847</v>
      </c>
      <c r="E236" s="109">
        <v>3.95E-2</v>
      </c>
      <c r="F236" s="46"/>
      <c r="G236" s="155">
        <f t="shared" si="26"/>
        <v>7104574</v>
      </c>
      <c r="H236" s="155">
        <f t="shared" si="27"/>
        <v>12000421</v>
      </c>
      <c r="I236" s="155">
        <f>H235+H236</f>
        <v>19104996</v>
      </c>
    </row>
    <row r="237" spans="2:9">
      <c r="B237" s="62"/>
      <c r="C237" s="41"/>
      <c r="D237" s="44"/>
      <c r="E237" s="42"/>
      <c r="F237" s="46"/>
      <c r="G237" s="154"/>
      <c r="H237" s="154"/>
      <c r="I237" s="154"/>
    </row>
    <row r="238" spans="2:9">
      <c r="B238" s="45"/>
      <c r="C238" s="45"/>
      <c r="D238" s="153">
        <f>SUM(D169:D236)</f>
        <v>151650345</v>
      </c>
      <c r="E238" s="89"/>
      <c r="F238" s="88">
        <f>SUM(F169:F211)</f>
        <v>0</v>
      </c>
      <c r="G238" s="153">
        <f>SUM(G169:G236)</f>
        <v>193520244</v>
      </c>
      <c r="H238" s="153">
        <f>SUM(H169:H236)</f>
        <v>345170589</v>
      </c>
      <c r="I238" s="153">
        <f>SUM(I169:I236)</f>
        <v>345170589</v>
      </c>
    </row>
    <row r="239" spans="2:9">
      <c r="B239" s="45"/>
      <c r="C239" s="45"/>
      <c r="D239" s="46"/>
      <c r="E239" s="47"/>
      <c r="F239" s="46"/>
      <c r="G239" s="46"/>
      <c r="H239" s="46"/>
      <c r="I239" s="46"/>
    </row>
    <row r="240" spans="2:9">
      <c r="B240" s="64" t="s">
        <v>24</v>
      </c>
      <c r="C240" s="25"/>
      <c r="D240" s="25"/>
      <c r="E240" s="65"/>
      <c r="F240" s="66"/>
      <c r="G240" s="65">
        <v>151650345</v>
      </c>
      <c r="H240" s="66"/>
      <c r="I240" s="67"/>
    </row>
    <row r="241" spans="2:9">
      <c r="B241" s="68" t="s">
        <v>25</v>
      </c>
      <c r="C241" s="60"/>
      <c r="D241" s="14"/>
      <c r="E241" s="57"/>
      <c r="F241" s="58"/>
      <c r="G241" s="63">
        <v>41666705</v>
      </c>
      <c r="H241" s="58"/>
      <c r="I241" s="69"/>
    </row>
    <row r="242" spans="2:9">
      <c r="B242" s="70" t="s">
        <v>26</v>
      </c>
      <c r="C242" s="71"/>
      <c r="D242" s="24"/>
      <c r="E242" s="72"/>
      <c r="F242" s="59"/>
      <c r="G242" s="73">
        <f>G240-G241</f>
        <v>109983640</v>
      </c>
      <c r="H242" s="59"/>
      <c r="I242" s="74"/>
    </row>
    <row r="244" spans="2:9">
      <c r="B244" s="234" t="s">
        <v>34</v>
      </c>
      <c r="C244" s="234"/>
      <c r="D244" s="234"/>
      <c r="E244" s="234"/>
      <c r="F244" s="234"/>
      <c r="G244" s="234"/>
      <c r="H244" s="234"/>
      <c r="I244" s="234"/>
    </row>
    <row r="245" spans="2:9">
      <c r="B245" s="234" t="s">
        <v>23</v>
      </c>
      <c r="C245" s="234"/>
      <c r="D245" s="234"/>
      <c r="E245" s="234"/>
      <c r="F245" s="234"/>
      <c r="G245" s="234"/>
      <c r="H245" s="234"/>
      <c r="I245" s="234"/>
    </row>
    <row r="246" spans="2:9">
      <c r="B246" s="234" t="s">
        <v>95</v>
      </c>
      <c r="C246" s="234"/>
      <c r="D246" s="234"/>
      <c r="E246" s="234"/>
      <c r="F246" s="234"/>
      <c r="G246" s="234"/>
      <c r="H246" s="234"/>
      <c r="I246" s="234"/>
    </row>
    <row r="247" spans="2:9">
      <c r="B247" s="234" t="s">
        <v>94</v>
      </c>
      <c r="C247" s="234"/>
      <c r="D247" s="234"/>
      <c r="E247" s="234"/>
      <c r="F247" s="234"/>
      <c r="G247" s="234"/>
      <c r="H247" s="234"/>
      <c r="I247" s="234"/>
    </row>
    <row r="248" spans="2:9">
      <c r="B248" s="60" t="s">
        <v>96</v>
      </c>
      <c r="C248" s="49"/>
      <c r="D248" s="49"/>
      <c r="E248" s="49"/>
      <c r="F248" s="49"/>
      <c r="G248" s="49"/>
      <c r="H248" s="49"/>
      <c r="I248" s="49"/>
    </row>
    <row r="249" spans="2:9">
      <c r="B249" s="60" t="s">
        <v>91</v>
      </c>
      <c r="C249" s="61"/>
      <c r="D249" s="61"/>
      <c r="E249" s="61"/>
      <c r="F249" s="61"/>
      <c r="G249" s="61"/>
      <c r="H249" s="61"/>
      <c r="I249" s="61"/>
    </row>
    <row r="250" spans="2:9">
      <c r="B250" s="53"/>
      <c r="C250" s="54"/>
      <c r="D250" s="50"/>
      <c r="E250" s="51"/>
      <c r="F250" s="52" t="s">
        <v>15</v>
      </c>
      <c r="G250" s="50"/>
      <c r="H250" s="50"/>
      <c r="I250" s="50"/>
    </row>
    <row r="251" spans="2:9">
      <c r="B251" s="235" t="s">
        <v>19</v>
      </c>
      <c r="C251" s="235"/>
      <c r="D251" s="55" t="s">
        <v>14</v>
      </c>
      <c r="E251" s="56" t="s">
        <v>20</v>
      </c>
      <c r="F251" s="55" t="s">
        <v>21</v>
      </c>
      <c r="G251" s="55" t="s">
        <v>15</v>
      </c>
      <c r="H251" s="55" t="s">
        <v>16</v>
      </c>
      <c r="I251" s="55" t="s">
        <v>22</v>
      </c>
    </row>
    <row r="253" spans="2:9">
      <c r="B253" s="62" t="s">
        <v>48</v>
      </c>
      <c r="C253" s="43"/>
      <c r="D253" s="155"/>
      <c r="E253" s="109"/>
      <c r="F253" s="86"/>
      <c r="G253" s="155">
        <v>739175</v>
      </c>
      <c r="H253" s="155">
        <f t="shared" ref="H253:H316" si="28">+G253+D253</f>
        <v>739175</v>
      </c>
      <c r="I253" s="155"/>
    </row>
    <row r="254" spans="2:9">
      <c r="B254" s="62" t="s">
        <v>49</v>
      </c>
      <c r="C254" s="43">
        <v>2023</v>
      </c>
      <c r="D254" s="155">
        <v>0</v>
      </c>
      <c r="E254" s="155">
        <v>0</v>
      </c>
      <c r="F254" s="86"/>
      <c r="G254" s="155">
        <f t="shared" ref="G254" si="29">+G253-F253</f>
        <v>739175</v>
      </c>
      <c r="H254" s="155">
        <f t="shared" si="28"/>
        <v>739175</v>
      </c>
      <c r="I254" s="155">
        <f>H253+H254</f>
        <v>1478350</v>
      </c>
    </row>
    <row r="255" spans="2:9">
      <c r="B255" s="62" t="s">
        <v>48</v>
      </c>
      <c r="D255" s="153"/>
      <c r="E255" s="153"/>
      <c r="F255" s="86">
        <f t="shared" ref="F255" si="30">ROUND(+D255*E255/2,2)</f>
        <v>0</v>
      </c>
      <c r="G255" s="155">
        <v>739175</v>
      </c>
      <c r="H255" s="155">
        <f t="shared" si="28"/>
        <v>739175</v>
      </c>
      <c r="I255" s="155"/>
    </row>
    <row r="256" spans="2:9">
      <c r="B256" s="62" t="s">
        <v>49</v>
      </c>
      <c r="C256" s="43">
        <v>2024</v>
      </c>
      <c r="D256" s="155">
        <v>0</v>
      </c>
      <c r="E256" s="155">
        <v>0</v>
      </c>
      <c r="F256" s="86"/>
      <c r="G256" s="155">
        <v>739175</v>
      </c>
      <c r="H256" s="155">
        <f t="shared" si="28"/>
        <v>739175</v>
      </c>
      <c r="I256" s="155">
        <f>H255+H256</f>
        <v>1478350</v>
      </c>
    </row>
    <row r="257" spans="2:9">
      <c r="B257" s="62" t="s">
        <v>48</v>
      </c>
      <c r="D257" s="153"/>
      <c r="E257" s="153"/>
      <c r="F257" s="86">
        <f>ROUND(+D257*E257/2,2)</f>
        <v>0</v>
      </c>
      <c r="G257" s="155">
        <v>739175</v>
      </c>
      <c r="H257" s="155">
        <f t="shared" si="28"/>
        <v>739175</v>
      </c>
      <c r="I257" s="155"/>
    </row>
    <row r="258" spans="2:9">
      <c r="B258" s="62" t="s">
        <v>49</v>
      </c>
      <c r="C258" s="43">
        <v>2025</v>
      </c>
      <c r="D258" s="155">
        <v>0</v>
      </c>
      <c r="E258" s="155">
        <v>0</v>
      </c>
      <c r="F258" s="86"/>
      <c r="G258" s="155">
        <v>739175</v>
      </c>
      <c r="H258" s="155">
        <f t="shared" si="28"/>
        <v>739175</v>
      </c>
      <c r="I258" s="155">
        <f>H257+H258</f>
        <v>1478350</v>
      </c>
    </row>
    <row r="259" spans="2:9">
      <c r="B259" s="62" t="s">
        <v>48</v>
      </c>
      <c r="D259" s="153"/>
      <c r="E259" s="153"/>
      <c r="F259" s="86">
        <f>ROUND(+D259*E259/2,2)</f>
        <v>0</v>
      </c>
      <c r="G259" s="155">
        <v>739175</v>
      </c>
      <c r="H259" s="155">
        <f t="shared" si="28"/>
        <v>739175</v>
      </c>
      <c r="I259" s="155"/>
    </row>
    <row r="260" spans="2:9">
      <c r="B260" s="62" t="s">
        <v>49</v>
      </c>
      <c r="C260" s="43">
        <v>2026</v>
      </c>
      <c r="D260" s="155">
        <v>0</v>
      </c>
      <c r="E260" s="155">
        <v>0</v>
      </c>
      <c r="F260" s="86"/>
      <c r="G260" s="155">
        <v>739175</v>
      </c>
      <c r="H260" s="155">
        <f t="shared" si="28"/>
        <v>739175</v>
      </c>
      <c r="I260" s="155">
        <f>H259+H260</f>
        <v>1478350</v>
      </c>
    </row>
    <row r="261" spans="2:9">
      <c r="B261" s="62" t="s">
        <v>48</v>
      </c>
      <c r="D261" s="153"/>
      <c r="E261" s="153"/>
      <c r="F261" s="86">
        <f>ROUND(+D261*E261/2,2)</f>
        <v>0</v>
      </c>
      <c r="G261" s="155">
        <v>739175</v>
      </c>
      <c r="H261" s="155">
        <f t="shared" si="28"/>
        <v>739175</v>
      </c>
      <c r="I261" s="155"/>
    </row>
    <row r="262" spans="2:9">
      <c r="B262" s="62" t="s">
        <v>49</v>
      </c>
      <c r="C262" s="43">
        <v>2027</v>
      </c>
      <c r="D262" s="155">
        <v>0</v>
      </c>
      <c r="E262" s="155">
        <v>0</v>
      </c>
      <c r="F262" s="86"/>
      <c r="G262" s="155">
        <v>739175</v>
      </c>
      <c r="H262" s="155">
        <f t="shared" si="28"/>
        <v>739175</v>
      </c>
      <c r="I262" s="155">
        <f>H261+H262</f>
        <v>1478350</v>
      </c>
    </row>
    <row r="263" spans="2:9">
      <c r="B263" s="62" t="s">
        <v>48</v>
      </c>
      <c r="D263" s="153"/>
      <c r="E263" s="109"/>
      <c r="F263" s="86">
        <f>ROUND(+D263*E263/2,2)</f>
        <v>0</v>
      </c>
      <c r="G263" s="155">
        <v>739175</v>
      </c>
      <c r="H263" s="155">
        <f t="shared" si="28"/>
        <v>739175</v>
      </c>
      <c r="I263" s="155"/>
    </row>
    <row r="264" spans="2:9">
      <c r="B264" s="62" t="s">
        <v>49</v>
      </c>
      <c r="C264" s="43">
        <v>2028</v>
      </c>
      <c r="D264" s="155">
        <v>240000</v>
      </c>
      <c r="E264" s="109">
        <v>0.05</v>
      </c>
      <c r="F264" s="86"/>
      <c r="G264" s="155">
        <v>739175</v>
      </c>
      <c r="H264" s="155">
        <f t="shared" si="28"/>
        <v>979175</v>
      </c>
      <c r="I264" s="155">
        <f>H263+H264</f>
        <v>1718350</v>
      </c>
    </row>
    <row r="265" spans="2:9">
      <c r="B265" s="62" t="s">
        <v>48</v>
      </c>
      <c r="D265" s="153"/>
      <c r="E265" s="109"/>
      <c r="F265" s="86">
        <f>ROUND(+D265*E265/2,2)</f>
        <v>0</v>
      </c>
      <c r="G265" s="155">
        <v>733175</v>
      </c>
      <c r="H265" s="155">
        <f t="shared" si="28"/>
        <v>733175</v>
      </c>
      <c r="I265" s="155"/>
    </row>
    <row r="266" spans="2:9">
      <c r="B266" s="62" t="s">
        <v>49</v>
      </c>
      <c r="C266" s="43">
        <v>2029</v>
      </c>
      <c r="D266" s="155">
        <v>475000</v>
      </c>
      <c r="E266" s="109">
        <v>0.05</v>
      </c>
      <c r="F266" s="86"/>
      <c r="G266" s="155">
        <v>733175</v>
      </c>
      <c r="H266" s="155">
        <f t="shared" si="28"/>
        <v>1208175</v>
      </c>
      <c r="I266" s="155">
        <f>H265+H266</f>
        <v>1941350</v>
      </c>
    </row>
    <row r="267" spans="2:9">
      <c r="B267" s="62" t="s">
        <v>48</v>
      </c>
      <c r="D267" s="153"/>
      <c r="E267" s="109"/>
      <c r="F267" s="86">
        <f>ROUND(+D267*E267/2,2)</f>
        <v>0</v>
      </c>
      <c r="G267" s="155">
        <v>721300</v>
      </c>
      <c r="H267" s="155">
        <f t="shared" si="28"/>
        <v>721300</v>
      </c>
      <c r="I267" s="155"/>
    </row>
    <row r="268" spans="2:9">
      <c r="B268" s="62" t="s">
        <v>49</v>
      </c>
      <c r="C268" s="43">
        <v>2030</v>
      </c>
      <c r="D268" s="155">
        <v>960000</v>
      </c>
      <c r="E268" s="109">
        <v>0.05</v>
      </c>
      <c r="F268" s="86"/>
      <c r="G268" s="155">
        <f t="shared" ref="G268" si="31">+G267-F267</f>
        <v>721300</v>
      </c>
      <c r="H268" s="155">
        <f t="shared" si="28"/>
        <v>1681300</v>
      </c>
      <c r="I268" s="155">
        <f>H267+H268</f>
        <v>2402600</v>
      </c>
    </row>
    <row r="269" spans="2:9">
      <c r="B269" s="62" t="s">
        <v>48</v>
      </c>
      <c r="D269" s="153"/>
      <c r="E269" s="109"/>
      <c r="F269" s="86">
        <f>ROUND(+D269*E269/2,2)</f>
        <v>0</v>
      </c>
      <c r="G269" s="155">
        <v>697300</v>
      </c>
      <c r="H269" s="155">
        <f t="shared" si="28"/>
        <v>697300</v>
      </c>
      <c r="I269" s="155"/>
    </row>
    <row r="270" spans="2:9">
      <c r="B270" s="62" t="s">
        <v>49</v>
      </c>
      <c r="C270" s="43">
        <v>2031</v>
      </c>
      <c r="D270" s="155">
        <v>1475000</v>
      </c>
      <c r="E270" s="109">
        <v>0.05</v>
      </c>
      <c r="F270" s="86"/>
      <c r="G270" s="155">
        <f>+G269-F269+1</f>
        <v>697301</v>
      </c>
      <c r="H270" s="155">
        <f t="shared" si="28"/>
        <v>2172301</v>
      </c>
      <c r="I270" s="155">
        <f>H269+H270</f>
        <v>2869601</v>
      </c>
    </row>
    <row r="271" spans="2:9">
      <c r="B271" s="62" t="s">
        <v>48</v>
      </c>
      <c r="D271" s="153"/>
      <c r="E271" s="109"/>
      <c r="F271" s="86">
        <f>ROUND(+D271*E271/2,2)</f>
        <v>0</v>
      </c>
      <c r="G271" s="155">
        <v>660425</v>
      </c>
      <c r="H271" s="155">
        <f t="shared" si="28"/>
        <v>660425</v>
      </c>
      <c r="I271" s="155"/>
    </row>
    <row r="272" spans="2:9">
      <c r="B272" s="62" t="s">
        <v>49</v>
      </c>
      <c r="C272" s="43">
        <v>2032</v>
      </c>
      <c r="D272" s="155">
        <v>1750000</v>
      </c>
      <c r="E272" s="109">
        <v>0.05</v>
      </c>
      <c r="F272" s="86"/>
      <c r="G272" s="155">
        <f t="shared" ref="G272" si="32">+G271-F271</f>
        <v>660425</v>
      </c>
      <c r="H272" s="155">
        <f t="shared" si="28"/>
        <v>2410425</v>
      </c>
      <c r="I272" s="155">
        <f>H271+H272</f>
        <v>3070850</v>
      </c>
    </row>
    <row r="273" spans="2:9">
      <c r="B273" s="62" t="s">
        <v>48</v>
      </c>
      <c r="D273" s="153"/>
      <c r="E273" s="109"/>
      <c r="F273" s="86">
        <f>ROUND(+D273*E273/2,2)</f>
        <v>0</v>
      </c>
      <c r="G273" s="155">
        <v>616675</v>
      </c>
      <c r="H273" s="155">
        <f t="shared" si="28"/>
        <v>616675</v>
      </c>
      <c r="I273" s="155"/>
    </row>
    <row r="274" spans="2:9">
      <c r="B274" s="62" t="s">
        <v>49</v>
      </c>
      <c r="C274" s="43">
        <v>2033</v>
      </c>
      <c r="D274" s="155">
        <v>1990000</v>
      </c>
      <c r="E274" s="109">
        <v>0.05</v>
      </c>
      <c r="F274" s="86"/>
      <c r="G274" s="155">
        <f t="shared" ref="G274" si="33">+G273-F273</f>
        <v>616675</v>
      </c>
      <c r="H274" s="155">
        <f t="shared" si="28"/>
        <v>2606675</v>
      </c>
      <c r="I274" s="155">
        <f>H273+H274</f>
        <v>3223350</v>
      </c>
    </row>
    <row r="275" spans="2:9">
      <c r="B275" s="62" t="s">
        <v>48</v>
      </c>
      <c r="D275" s="153"/>
      <c r="E275" s="109"/>
      <c r="F275" s="86">
        <f>ROUND(+D275*E275/2,2)</f>
        <v>0</v>
      </c>
      <c r="G275" s="155">
        <v>566925</v>
      </c>
      <c r="H275" s="155">
        <f t="shared" si="28"/>
        <v>566925</v>
      </c>
      <c r="I275" s="155"/>
    </row>
    <row r="276" spans="2:9">
      <c r="B276" s="62" t="s">
        <v>49</v>
      </c>
      <c r="C276" s="43">
        <v>2034</v>
      </c>
      <c r="D276" s="155">
        <v>2225000</v>
      </c>
      <c r="E276" s="109">
        <v>0.05</v>
      </c>
      <c r="F276" s="86"/>
      <c r="G276" s="155">
        <f>+G275-F275+1</f>
        <v>566926</v>
      </c>
      <c r="H276" s="155">
        <f t="shared" si="28"/>
        <v>2791926</v>
      </c>
      <c r="I276" s="155">
        <f>H275+H276</f>
        <v>3358851</v>
      </c>
    </row>
    <row r="277" spans="2:9">
      <c r="B277" s="62" t="s">
        <v>48</v>
      </c>
      <c r="D277" s="153"/>
      <c r="E277" s="109"/>
      <c r="F277" s="86">
        <f>ROUND(+D277*E277/2,2)</f>
        <v>0</v>
      </c>
      <c r="G277" s="155">
        <v>511300</v>
      </c>
      <c r="H277" s="155">
        <f t="shared" si="28"/>
        <v>511300</v>
      </c>
      <c r="I277" s="155"/>
    </row>
    <row r="278" spans="2:9">
      <c r="B278" s="62" t="s">
        <v>49</v>
      </c>
      <c r="C278" s="43">
        <v>2035</v>
      </c>
      <c r="D278" s="155">
        <v>2560000</v>
      </c>
      <c r="E278" s="109">
        <v>0.05</v>
      </c>
      <c r="F278" s="86"/>
      <c r="G278" s="155">
        <f t="shared" ref="G278" si="34">+G277-F277</f>
        <v>511300</v>
      </c>
      <c r="H278" s="155">
        <f t="shared" si="28"/>
        <v>3071300</v>
      </c>
      <c r="I278" s="155">
        <f>H277+H278</f>
        <v>3582600</v>
      </c>
    </row>
    <row r="279" spans="2:9">
      <c r="B279" s="62" t="s">
        <v>48</v>
      </c>
      <c r="D279" s="153"/>
      <c r="E279" s="109"/>
      <c r="F279" s="86">
        <f>ROUND(+D279*E279/2,2)</f>
        <v>0</v>
      </c>
      <c r="G279" s="155">
        <v>447300</v>
      </c>
      <c r="H279" s="155">
        <f t="shared" si="28"/>
        <v>447300</v>
      </c>
      <c r="I279" s="155"/>
    </row>
    <row r="280" spans="2:9">
      <c r="B280" s="62" t="s">
        <v>49</v>
      </c>
      <c r="C280" s="43">
        <v>2036</v>
      </c>
      <c r="D280" s="153">
        <v>2820000</v>
      </c>
      <c r="E280" s="109">
        <v>0.05</v>
      </c>
      <c r="F280" s="86"/>
      <c r="G280" s="155">
        <f t="shared" ref="G280" si="35">+G279-F279</f>
        <v>447300</v>
      </c>
      <c r="H280" s="155">
        <f t="shared" si="28"/>
        <v>3267300</v>
      </c>
      <c r="I280" s="155">
        <f>H279+H280</f>
        <v>3714600</v>
      </c>
    </row>
    <row r="281" spans="2:9">
      <c r="B281" s="62" t="s">
        <v>48</v>
      </c>
      <c r="C281" s="43"/>
      <c r="D281" s="153"/>
      <c r="E281" s="109"/>
      <c r="F281" s="86"/>
      <c r="G281" s="155">
        <v>376800</v>
      </c>
      <c r="H281" s="155">
        <f t="shared" si="28"/>
        <v>376800</v>
      </c>
      <c r="I281" s="155"/>
    </row>
    <row r="282" spans="2:9">
      <c r="B282" s="62" t="s">
        <v>49</v>
      </c>
      <c r="C282" s="43">
        <v>2037</v>
      </c>
      <c r="D282" s="153">
        <v>3120000</v>
      </c>
      <c r="E282" s="109">
        <v>0.04</v>
      </c>
      <c r="F282" s="86"/>
      <c r="G282" s="155">
        <f t="shared" ref="G282" si="36">+G281-F281</f>
        <v>376800</v>
      </c>
      <c r="H282" s="155">
        <f t="shared" si="28"/>
        <v>3496800</v>
      </c>
      <c r="I282" s="155">
        <f>H281+H282</f>
        <v>3873600</v>
      </c>
    </row>
    <row r="283" spans="2:9">
      <c r="B283" s="62" t="s">
        <v>48</v>
      </c>
      <c r="C283" s="43"/>
      <c r="D283" s="153"/>
      <c r="E283" s="109"/>
      <c r="F283" s="86"/>
      <c r="G283" s="155">
        <v>314400</v>
      </c>
      <c r="H283" s="155">
        <f t="shared" si="28"/>
        <v>314400</v>
      </c>
      <c r="I283" s="155"/>
    </row>
    <row r="284" spans="2:9">
      <c r="B284" s="62" t="s">
        <v>49</v>
      </c>
      <c r="C284" s="43">
        <v>2038</v>
      </c>
      <c r="D284" s="153">
        <v>3475000</v>
      </c>
      <c r="E284" s="109">
        <v>0.04</v>
      </c>
      <c r="F284" s="86"/>
      <c r="G284" s="155">
        <f>+G283-F283+1</f>
        <v>314401</v>
      </c>
      <c r="H284" s="155">
        <f t="shared" si="28"/>
        <v>3789401</v>
      </c>
      <c r="I284" s="155">
        <f>H283+H284</f>
        <v>4103801</v>
      </c>
    </row>
    <row r="285" spans="2:9">
      <c r="B285" s="62" t="s">
        <v>48</v>
      </c>
      <c r="C285" s="43"/>
      <c r="D285" s="153"/>
      <c r="E285" s="109"/>
      <c r="F285" s="86"/>
      <c r="G285" s="155">
        <v>244900</v>
      </c>
      <c r="H285" s="155">
        <f t="shared" si="28"/>
        <v>244900</v>
      </c>
      <c r="I285" s="155"/>
    </row>
    <row r="286" spans="2:9">
      <c r="B286" s="62" t="s">
        <v>49</v>
      </c>
      <c r="C286" s="43">
        <v>2039</v>
      </c>
      <c r="D286" s="153">
        <v>3755000</v>
      </c>
      <c r="E286" s="109">
        <v>0.04</v>
      </c>
      <c r="F286" s="86"/>
      <c r="G286" s="155">
        <f>+G285-F285-1</f>
        <v>244899</v>
      </c>
      <c r="H286" s="155">
        <f t="shared" si="28"/>
        <v>3999899</v>
      </c>
      <c r="I286" s="155">
        <f>H285+H286</f>
        <v>4244799</v>
      </c>
    </row>
    <row r="287" spans="2:9">
      <c r="B287" s="62" t="s">
        <v>48</v>
      </c>
      <c r="C287" s="43"/>
      <c r="D287" s="153"/>
      <c r="E287" s="109"/>
      <c r="F287" s="86"/>
      <c r="G287" s="155">
        <v>169800</v>
      </c>
      <c r="H287" s="155">
        <f t="shared" si="28"/>
        <v>169800</v>
      </c>
      <c r="I287" s="155"/>
    </row>
    <row r="288" spans="2:9">
      <c r="B288" s="62" t="s">
        <v>49</v>
      </c>
      <c r="C288" s="43">
        <v>2040</v>
      </c>
      <c r="D288" s="153">
        <v>4040000</v>
      </c>
      <c r="E288" s="109">
        <v>0.04</v>
      </c>
      <c r="F288" s="86"/>
      <c r="G288" s="155">
        <f t="shared" ref="G288" si="37">+G287-F287</f>
        <v>169800</v>
      </c>
      <c r="H288" s="155">
        <f t="shared" si="28"/>
        <v>4209800</v>
      </c>
      <c r="I288" s="155">
        <f>H287+H288</f>
        <v>4379600</v>
      </c>
    </row>
    <row r="289" spans="2:9">
      <c r="B289" s="62" t="s">
        <v>48</v>
      </c>
      <c r="C289" s="43"/>
      <c r="D289" s="153"/>
      <c r="E289" s="109"/>
      <c r="F289" s="86"/>
      <c r="G289" s="155">
        <v>89000</v>
      </c>
      <c r="H289" s="155">
        <f t="shared" si="28"/>
        <v>89000</v>
      </c>
      <c r="I289" s="155"/>
    </row>
    <row r="290" spans="2:9">
      <c r="B290" s="62" t="s">
        <v>49</v>
      </c>
      <c r="C290" s="43">
        <v>2041</v>
      </c>
      <c r="D290" s="153">
        <v>4450000</v>
      </c>
      <c r="E290" s="109">
        <v>0.04</v>
      </c>
      <c r="F290" s="86"/>
      <c r="G290" s="155">
        <f>+G289-F289-1</f>
        <v>88999</v>
      </c>
      <c r="H290" s="155">
        <f t="shared" si="28"/>
        <v>4538999</v>
      </c>
      <c r="I290" s="155">
        <f>H289+H290</f>
        <v>4627999</v>
      </c>
    </row>
    <row r="291" spans="2:9">
      <c r="B291" s="62" t="s">
        <v>48</v>
      </c>
      <c r="C291" s="43"/>
      <c r="D291" s="153"/>
      <c r="E291" s="109"/>
      <c r="F291" s="86"/>
      <c r="G291" s="155">
        <v>1335144</v>
      </c>
      <c r="H291" s="155">
        <f t="shared" si="28"/>
        <v>1335144</v>
      </c>
      <c r="I291" s="155"/>
    </row>
    <row r="292" spans="2:9">
      <c r="B292" s="62" t="s">
        <v>49</v>
      </c>
      <c r="C292" s="43">
        <v>2042</v>
      </c>
      <c r="D292" s="153">
        <v>2124712</v>
      </c>
      <c r="E292" s="109">
        <v>3.95E-2</v>
      </c>
      <c r="F292" s="86"/>
      <c r="G292" s="155">
        <f>+G291-F291+1</f>
        <v>1335145</v>
      </c>
      <c r="H292" s="155">
        <f t="shared" si="28"/>
        <v>3459857</v>
      </c>
      <c r="I292" s="155">
        <f>H291+H292</f>
        <v>4795001</v>
      </c>
    </row>
    <row r="293" spans="2:9">
      <c r="B293" s="62" t="s">
        <v>48</v>
      </c>
      <c r="C293" s="43"/>
      <c r="D293" s="153"/>
      <c r="E293" s="109"/>
      <c r="F293" s="86"/>
      <c r="G293" s="155">
        <v>1438162</v>
      </c>
      <c r="H293" s="155">
        <f t="shared" si="28"/>
        <v>1438162</v>
      </c>
      <c r="I293" s="155"/>
    </row>
    <row r="294" spans="2:9">
      <c r="B294" s="62" t="s">
        <v>49</v>
      </c>
      <c r="C294" s="43">
        <v>2043</v>
      </c>
      <c r="D294" s="153">
        <v>2088676</v>
      </c>
      <c r="E294" s="109">
        <v>4.0099999999999997E-2</v>
      </c>
      <c r="F294" s="86"/>
      <c r="G294" s="155">
        <f>+G293-F293-1</f>
        <v>1438161</v>
      </c>
      <c r="H294" s="155">
        <f t="shared" si="28"/>
        <v>3526837</v>
      </c>
      <c r="I294" s="155">
        <f>H293+H294</f>
        <v>4964999</v>
      </c>
    </row>
    <row r="295" spans="2:9">
      <c r="B295" s="62" t="s">
        <v>48</v>
      </c>
      <c r="C295" s="41"/>
      <c r="D295" s="156"/>
      <c r="E295" s="47"/>
      <c r="F295" s="46"/>
      <c r="G295" s="155">
        <v>1700065</v>
      </c>
      <c r="H295" s="155">
        <f t="shared" si="28"/>
        <v>1700065</v>
      </c>
      <c r="I295" s="156"/>
    </row>
    <row r="296" spans="2:9">
      <c r="B296" s="62" t="s">
        <v>49</v>
      </c>
      <c r="C296" s="41">
        <v>2044</v>
      </c>
      <c r="D296" s="153">
        <v>2239870</v>
      </c>
      <c r="E296" s="109">
        <v>4.0899999999999999E-2</v>
      </c>
      <c r="F296" s="46"/>
      <c r="G296" s="155">
        <f>+G295-F295-1</f>
        <v>1700064</v>
      </c>
      <c r="H296" s="155">
        <f t="shared" si="28"/>
        <v>3939934</v>
      </c>
      <c r="I296" s="155">
        <f>H295+H296</f>
        <v>5639999</v>
      </c>
    </row>
    <row r="297" spans="2:9">
      <c r="B297" s="62" t="s">
        <v>48</v>
      </c>
      <c r="C297" s="41"/>
      <c r="D297" s="156"/>
      <c r="E297" s="109"/>
      <c r="F297" s="46"/>
      <c r="G297" s="155">
        <v>1810928</v>
      </c>
      <c r="H297" s="155">
        <f t="shared" si="28"/>
        <v>1810928</v>
      </c>
      <c r="I297" s="156"/>
    </row>
    <row r="298" spans="2:9">
      <c r="B298" s="62" t="s">
        <v>49</v>
      </c>
      <c r="C298" s="41">
        <v>2045</v>
      </c>
      <c r="D298" s="153">
        <v>2183144</v>
      </c>
      <c r="E298" s="109">
        <v>4.1500000000000002E-2</v>
      </c>
      <c r="F298" s="46"/>
      <c r="G298" s="155">
        <f t="shared" ref="G298" si="38">+G297-F297-1</f>
        <v>1810927</v>
      </c>
      <c r="H298" s="155">
        <f t="shared" si="28"/>
        <v>3994071</v>
      </c>
      <c r="I298" s="155">
        <f>H297+H298</f>
        <v>5804999</v>
      </c>
    </row>
    <row r="299" spans="2:9">
      <c r="B299" s="62" t="s">
        <v>48</v>
      </c>
      <c r="C299" s="41"/>
      <c r="D299" s="156"/>
      <c r="E299" s="109"/>
      <c r="F299" s="46"/>
      <c r="G299" s="155">
        <v>1909950</v>
      </c>
      <c r="H299" s="155">
        <f t="shared" si="28"/>
        <v>1909950</v>
      </c>
      <c r="I299" s="156"/>
    </row>
    <row r="300" spans="2:9">
      <c r="B300" s="62" t="s">
        <v>49</v>
      </c>
      <c r="C300" s="41">
        <v>2046</v>
      </c>
      <c r="D300" s="153">
        <v>2125100</v>
      </c>
      <c r="E300" s="109">
        <v>4.19E-2</v>
      </c>
      <c r="F300" s="46"/>
      <c r="G300" s="155">
        <f t="shared" ref="G300" si="39">+G299-F299-1</f>
        <v>1909949</v>
      </c>
      <c r="H300" s="155">
        <f t="shared" si="28"/>
        <v>4035049</v>
      </c>
      <c r="I300" s="155">
        <f>H299+H300</f>
        <v>5944999</v>
      </c>
    </row>
    <row r="301" spans="2:9">
      <c r="B301" s="62" t="s">
        <v>48</v>
      </c>
      <c r="C301" s="41"/>
      <c r="D301" s="156"/>
      <c r="E301" s="109"/>
      <c r="F301" s="46"/>
      <c r="G301" s="155">
        <v>2043896</v>
      </c>
      <c r="H301" s="155">
        <f t="shared" si="28"/>
        <v>2043896</v>
      </c>
      <c r="I301" s="156"/>
    </row>
    <row r="302" spans="2:9">
      <c r="B302" s="62" t="s">
        <v>49</v>
      </c>
      <c r="C302" s="41">
        <v>2047</v>
      </c>
      <c r="D302" s="153">
        <v>2117208</v>
      </c>
      <c r="E302" s="109">
        <v>4.2099999999999999E-2</v>
      </c>
      <c r="F302" s="46"/>
      <c r="G302" s="155">
        <f t="shared" ref="G302" si="40">+G301-F301-1</f>
        <v>2043895</v>
      </c>
      <c r="H302" s="155">
        <f t="shared" si="28"/>
        <v>4161103</v>
      </c>
      <c r="I302" s="155">
        <f>H301+H302</f>
        <v>6204999</v>
      </c>
    </row>
    <row r="303" spans="2:9">
      <c r="B303" s="62" t="s">
        <v>48</v>
      </c>
      <c r="C303" s="41"/>
      <c r="D303" s="153"/>
      <c r="E303" s="47"/>
      <c r="F303" s="46"/>
      <c r="G303" s="155">
        <v>2144688</v>
      </c>
      <c r="H303" s="155">
        <f t="shared" si="28"/>
        <v>2144688</v>
      </c>
      <c r="I303" s="156"/>
    </row>
    <row r="304" spans="2:9">
      <c r="B304" s="62" t="s">
        <v>49</v>
      </c>
      <c r="C304" s="41">
        <v>2048</v>
      </c>
      <c r="D304" s="153">
        <v>2070625</v>
      </c>
      <c r="E304" s="109">
        <v>4.2299999999999997E-2</v>
      </c>
      <c r="F304" s="46"/>
      <c r="G304" s="155">
        <f t="shared" ref="G304" si="41">+G303-F303-1</f>
        <v>2144687</v>
      </c>
      <c r="H304" s="155">
        <f t="shared" si="28"/>
        <v>4215312</v>
      </c>
      <c r="I304" s="155">
        <f>H303+H304</f>
        <v>6360000</v>
      </c>
    </row>
    <row r="305" spans="2:9">
      <c r="B305" s="62" t="s">
        <v>48</v>
      </c>
      <c r="C305" s="41"/>
      <c r="D305" s="153"/>
      <c r="E305" s="47"/>
      <c r="F305" s="46"/>
      <c r="G305" s="155">
        <v>2251120</v>
      </c>
      <c r="H305" s="155">
        <f t="shared" si="28"/>
        <v>2251120</v>
      </c>
      <c r="I305" s="156"/>
    </row>
    <row r="306" spans="2:9">
      <c r="B306" s="62" t="s">
        <v>49</v>
      </c>
      <c r="C306" s="41">
        <v>2049</v>
      </c>
      <c r="D306" s="153">
        <v>2027761</v>
      </c>
      <c r="E306" s="109">
        <v>4.2500000000000003E-2</v>
      </c>
      <c r="F306" s="46"/>
      <c r="G306" s="155">
        <f t="shared" ref="G306" si="42">+G305-F305-1</f>
        <v>2251119</v>
      </c>
      <c r="H306" s="155">
        <f t="shared" si="28"/>
        <v>4278880</v>
      </c>
      <c r="I306" s="155">
        <f>H305+H306</f>
        <v>6530000</v>
      </c>
    </row>
    <row r="307" spans="2:9">
      <c r="B307" s="62" t="s">
        <v>48</v>
      </c>
      <c r="C307" s="41"/>
      <c r="D307" s="153"/>
      <c r="E307" s="47"/>
      <c r="F307" s="46"/>
      <c r="G307" s="155">
        <v>2396916</v>
      </c>
      <c r="H307" s="155">
        <f t="shared" si="28"/>
        <v>2396916</v>
      </c>
      <c r="I307" s="156"/>
    </row>
    <row r="308" spans="2:9">
      <c r="B308" s="62" t="s">
        <v>49</v>
      </c>
      <c r="C308" s="41">
        <v>2050</v>
      </c>
      <c r="D308" s="153">
        <v>2016169</v>
      </c>
      <c r="E308" s="109">
        <v>4.2700000000000002E-2</v>
      </c>
      <c r="F308" s="46"/>
      <c r="G308" s="155">
        <f t="shared" ref="G308" si="43">+G307-F307-1</f>
        <v>2396915</v>
      </c>
      <c r="H308" s="155">
        <f t="shared" si="28"/>
        <v>4413084</v>
      </c>
      <c r="I308" s="155">
        <f>H307+H308</f>
        <v>6810000</v>
      </c>
    </row>
    <row r="309" spans="2:9">
      <c r="B309" s="62" t="s">
        <v>48</v>
      </c>
      <c r="C309" s="41"/>
      <c r="D309" s="153"/>
      <c r="E309" s="47"/>
      <c r="F309" s="46"/>
      <c r="G309" s="155">
        <v>2596786</v>
      </c>
      <c r="H309" s="155">
        <f t="shared" si="28"/>
        <v>2596786</v>
      </c>
      <c r="I309" s="156"/>
    </row>
    <row r="310" spans="2:9">
      <c r="B310" s="62" t="s">
        <v>49</v>
      </c>
      <c r="C310" s="41">
        <v>2051</v>
      </c>
      <c r="D310" s="153">
        <v>2041428</v>
      </c>
      <c r="E310" s="109">
        <v>4.2900000000000001E-2</v>
      </c>
      <c r="F310" s="46"/>
      <c r="G310" s="155">
        <f t="shared" ref="G310" si="44">+G309-F309-1</f>
        <v>2596785</v>
      </c>
      <c r="H310" s="155">
        <f t="shared" si="28"/>
        <v>4638213</v>
      </c>
      <c r="I310" s="155">
        <f>H309+H310</f>
        <v>7234999</v>
      </c>
    </row>
    <row r="311" spans="2:9">
      <c r="B311" s="62" t="s">
        <v>48</v>
      </c>
      <c r="C311" s="41"/>
      <c r="D311" s="153"/>
      <c r="E311" s="47"/>
      <c r="F311" s="46"/>
      <c r="G311" s="155">
        <v>2708400</v>
      </c>
      <c r="H311" s="155">
        <f t="shared" si="28"/>
        <v>2708400</v>
      </c>
      <c r="I311" s="156"/>
    </row>
    <row r="312" spans="2:9">
      <c r="B312" s="62" t="s">
        <v>49</v>
      </c>
      <c r="C312" s="41">
        <v>2052</v>
      </c>
      <c r="D312" s="153">
        <v>1983200</v>
      </c>
      <c r="E312" s="109">
        <v>4.3200000000000002E-2</v>
      </c>
      <c r="F312" s="46"/>
      <c r="G312" s="155">
        <f t="shared" ref="G312" si="45">+G311-F311-1</f>
        <v>2708399</v>
      </c>
      <c r="H312" s="155">
        <f t="shared" si="28"/>
        <v>4691599</v>
      </c>
      <c r="I312" s="155">
        <f>H311+H312</f>
        <v>7399999</v>
      </c>
    </row>
    <row r="313" spans="2:9">
      <c r="B313" s="62" t="s">
        <v>48</v>
      </c>
      <c r="C313" s="41"/>
      <c r="D313" s="153"/>
      <c r="E313" s="47"/>
      <c r="F313" s="46"/>
      <c r="G313" s="155">
        <v>2850762</v>
      </c>
      <c r="H313" s="155">
        <f t="shared" si="28"/>
        <v>2850762</v>
      </c>
      <c r="I313" s="156"/>
    </row>
    <row r="314" spans="2:9">
      <c r="B314" s="62" t="s">
        <v>49</v>
      </c>
      <c r="C314" s="41">
        <v>2053</v>
      </c>
      <c r="D314" s="153">
        <v>1953479</v>
      </c>
      <c r="E314" s="109">
        <v>4.3400000000000001E-2</v>
      </c>
      <c r="F314" s="46"/>
      <c r="G314" s="155">
        <f t="shared" ref="G314" si="46">+G313-F313-1</f>
        <v>2850761</v>
      </c>
      <c r="H314" s="155">
        <f t="shared" si="28"/>
        <v>4804240</v>
      </c>
      <c r="I314" s="155">
        <f>H313+H314</f>
        <v>7655002</v>
      </c>
    </row>
    <row r="315" spans="2:9">
      <c r="B315" s="62" t="s">
        <v>48</v>
      </c>
      <c r="C315" s="41"/>
      <c r="D315" s="153"/>
      <c r="E315" s="47"/>
      <c r="F315" s="46"/>
      <c r="G315" s="155">
        <v>2962154</v>
      </c>
      <c r="H315" s="155">
        <f t="shared" si="28"/>
        <v>2962154</v>
      </c>
      <c r="I315" s="156"/>
    </row>
    <row r="316" spans="2:9">
      <c r="B316" s="62" t="s">
        <v>49</v>
      </c>
      <c r="C316" s="41">
        <v>2054</v>
      </c>
      <c r="D316" s="153">
        <v>1900693</v>
      </c>
      <c r="E316" s="109">
        <v>4.36E-2</v>
      </c>
      <c r="F316" s="46"/>
      <c r="G316" s="155">
        <f t="shared" ref="G316" si="47">+G315-F315-1</f>
        <v>2962153</v>
      </c>
      <c r="H316" s="155">
        <f t="shared" si="28"/>
        <v>4862846</v>
      </c>
      <c r="I316" s="155">
        <f>H315+H316</f>
        <v>7825000</v>
      </c>
    </row>
    <row r="317" spans="2:9">
      <c r="B317" s="62" t="s">
        <v>48</v>
      </c>
      <c r="C317" s="41"/>
      <c r="D317" s="153"/>
      <c r="E317" s="47"/>
      <c r="F317" s="46"/>
      <c r="G317" s="155">
        <v>3073638</v>
      </c>
      <c r="H317" s="155">
        <f t="shared" ref="H317:H320" si="48">+G317+D317</f>
        <v>3073638</v>
      </c>
      <c r="I317" s="156"/>
    </row>
    <row r="318" spans="2:9">
      <c r="B318" s="62" t="s">
        <v>49</v>
      </c>
      <c r="C318" s="41">
        <v>2055</v>
      </c>
      <c r="D318" s="153">
        <v>1847724</v>
      </c>
      <c r="E318" s="109">
        <v>4.3799999999999999E-2</v>
      </c>
      <c r="F318" s="46"/>
      <c r="G318" s="155">
        <f>+G317-F317</f>
        <v>3073638</v>
      </c>
      <c r="H318" s="155">
        <f t="shared" si="48"/>
        <v>4921362</v>
      </c>
      <c r="I318" s="155">
        <f>H317+H318</f>
        <v>7995000</v>
      </c>
    </row>
    <row r="319" spans="2:9">
      <c r="B319" s="62" t="s">
        <v>48</v>
      </c>
      <c r="C319" s="41"/>
      <c r="D319" s="153"/>
      <c r="E319" s="47"/>
      <c r="F319" s="46"/>
      <c r="G319" s="155">
        <v>3247540</v>
      </c>
      <c r="H319" s="155">
        <f t="shared" si="48"/>
        <v>3247540</v>
      </c>
      <c r="I319" s="156"/>
    </row>
    <row r="320" spans="2:9">
      <c r="B320" s="62" t="s">
        <v>49</v>
      </c>
      <c r="C320" s="41">
        <v>2056</v>
      </c>
      <c r="D320" s="153">
        <v>1829918</v>
      </c>
      <c r="E320" s="109">
        <v>4.3999999999999997E-2</v>
      </c>
      <c r="F320" s="46"/>
      <c r="G320" s="155">
        <f>+G319-F319+1</f>
        <v>3247541</v>
      </c>
      <c r="H320" s="155">
        <f t="shared" si="48"/>
        <v>5077459</v>
      </c>
      <c r="I320" s="155">
        <f>H319+H320</f>
        <v>8324999</v>
      </c>
    </row>
    <row r="321" spans="2:9">
      <c r="B321" s="62"/>
      <c r="C321" s="41"/>
      <c r="D321" s="44"/>
      <c r="E321" s="42"/>
      <c r="F321" s="46"/>
      <c r="G321" s="154"/>
      <c r="H321" s="154"/>
      <c r="I321" s="154"/>
    </row>
    <row r="322" spans="2:9">
      <c r="B322" s="45"/>
      <c r="C322" s="45"/>
      <c r="D322" s="153">
        <f>SUM(D253:D320)</f>
        <v>63884707</v>
      </c>
      <c r="E322" s="89"/>
      <c r="F322" s="88">
        <f>SUM(F253:F295)</f>
        <v>0</v>
      </c>
      <c r="G322" s="153">
        <f>SUM(G253:G320)</f>
        <v>90108989</v>
      </c>
      <c r="H322" s="153">
        <f>SUM(H253:H320)</f>
        <v>153993696</v>
      </c>
      <c r="I322" s="153">
        <f>SUM(I253:I320)</f>
        <v>153993696</v>
      </c>
    </row>
    <row r="323" spans="2:9">
      <c r="B323" s="45"/>
      <c r="C323" s="45"/>
      <c r="D323" s="46"/>
      <c r="E323" s="47"/>
      <c r="F323" s="46"/>
      <c r="G323" s="46"/>
      <c r="H323" s="46"/>
      <c r="I323" s="46"/>
    </row>
    <row r="324" spans="2:9">
      <c r="B324" s="64" t="s">
        <v>24</v>
      </c>
      <c r="C324" s="25"/>
      <c r="D324" s="25"/>
      <c r="E324" s="65"/>
      <c r="F324" s="66"/>
      <c r="G324" s="65">
        <v>63884707</v>
      </c>
      <c r="H324" s="66"/>
      <c r="I324" s="67"/>
    </row>
    <row r="325" spans="2:9">
      <c r="B325" s="68" t="s">
        <v>25</v>
      </c>
      <c r="C325" s="60"/>
      <c r="D325" s="14"/>
      <c r="E325" s="57"/>
      <c r="F325" s="58"/>
      <c r="G325" s="63">
        <v>61954503</v>
      </c>
      <c r="H325" s="58"/>
      <c r="I325" s="69"/>
    </row>
    <row r="326" spans="2:9">
      <c r="B326" s="70" t="s">
        <v>26</v>
      </c>
      <c r="C326" s="71"/>
      <c r="D326" s="24"/>
      <c r="E326" s="72"/>
      <c r="F326" s="59"/>
      <c r="G326" s="73">
        <f>G324-G325</f>
        <v>1930204</v>
      </c>
      <c r="H326" s="59"/>
      <c r="I326" s="74"/>
    </row>
  </sheetData>
  <mergeCells count="25">
    <mergeCell ref="B100:I100"/>
    <mergeCell ref="B101:I101"/>
    <mergeCell ref="B102:I102"/>
    <mergeCell ref="B103:I103"/>
    <mergeCell ref="B107:C107"/>
    <mergeCell ref="B25:I25"/>
    <mergeCell ref="B26:I26"/>
    <mergeCell ref="B27:I27"/>
    <mergeCell ref="B28:I28"/>
    <mergeCell ref="B32:C32"/>
    <mergeCell ref="B2:I2"/>
    <mergeCell ref="B3:I3"/>
    <mergeCell ref="B4:I4"/>
    <mergeCell ref="B5:I5"/>
    <mergeCell ref="B9:C9"/>
    <mergeCell ref="B160:I160"/>
    <mergeCell ref="B161:I161"/>
    <mergeCell ref="B162:I162"/>
    <mergeCell ref="B163:I163"/>
    <mergeCell ref="B167:C167"/>
    <mergeCell ref="B244:I244"/>
    <mergeCell ref="B245:I245"/>
    <mergeCell ref="B246:I246"/>
    <mergeCell ref="B247:I247"/>
    <mergeCell ref="B251:C251"/>
  </mergeCells>
  <printOptions horizontalCentered="1"/>
  <pageMargins left="0.7" right="0.7" top="0.75" bottom="0.75" header="0.3" footer="0.3"/>
  <pageSetup scale="56" orientation="portrait" r:id="rId1"/>
  <rowBreaks count="4" manualBreakCount="4">
    <brk id="20" min="1" max="8" man="1"/>
    <brk id="98" min="1" max="8" man="1"/>
    <brk id="158" min="1" max="8" man="1"/>
    <brk id="242" min="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194"/>
  <sheetViews>
    <sheetView zoomScaleNormal="100" workbookViewId="0">
      <selection activeCell="B4" sqref="B4:G4"/>
    </sheetView>
  </sheetViews>
  <sheetFormatPr defaultRowHeight="15"/>
  <cols>
    <col min="1" max="1" width="4" style="14" customWidth="1"/>
    <col min="2" max="2" width="23.140625" bestFit="1" customWidth="1"/>
    <col min="3" max="3" width="85.85546875" customWidth="1"/>
    <col min="4" max="7" width="16.28515625" customWidth="1"/>
    <col min="8" max="8" width="0" style="14" hidden="1" customWidth="1"/>
    <col min="9" max="10" width="9.140625" style="14" customWidth="1"/>
    <col min="11" max="39" width="9.140625" style="14"/>
  </cols>
  <sheetData>
    <row r="1" spans="2:9" ht="18.75" customHeight="1">
      <c r="B1" s="236" t="s">
        <v>123</v>
      </c>
      <c r="C1" s="237"/>
      <c r="D1" s="237"/>
      <c r="E1" s="237"/>
      <c r="F1" s="237"/>
      <c r="G1" s="237"/>
    </row>
    <row r="2" spans="2:9" ht="18.75" customHeight="1">
      <c r="B2" s="236" t="s">
        <v>124</v>
      </c>
      <c r="C2" s="237"/>
      <c r="D2" s="237"/>
      <c r="E2" s="237"/>
      <c r="F2" s="237"/>
      <c r="G2" s="237"/>
    </row>
    <row r="3" spans="2:9" ht="18.75" customHeight="1">
      <c r="B3" s="236" t="s">
        <v>125</v>
      </c>
      <c r="C3" s="237"/>
      <c r="D3" s="237"/>
      <c r="E3" s="237"/>
      <c r="F3" s="237"/>
      <c r="G3" s="237"/>
    </row>
    <row r="4" spans="2:9" ht="19.5" customHeight="1" thickBot="1">
      <c r="B4" s="238" t="s">
        <v>83</v>
      </c>
      <c r="C4" s="239"/>
      <c r="D4" s="239"/>
      <c r="E4" s="239"/>
      <c r="F4" s="239"/>
      <c r="G4" s="239"/>
    </row>
    <row r="5" spans="2:9" ht="15.75" thickBot="1">
      <c r="B5" s="240" t="s">
        <v>12</v>
      </c>
      <c r="C5" s="242" t="s">
        <v>13</v>
      </c>
      <c r="D5" s="244" t="s">
        <v>17</v>
      </c>
      <c r="E5" s="246" t="s">
        <v>18</v>
      </c>
      <c r="F5" s="247"/>
      <c r="G5" s="248"/>
    </row>
    <row r="6" spans="2:9" ht="15.75" thickBot="1">
      <c r="B6" s="241"/>
      <c r="C6" s="243"/>
      <c r="D6" s="245"/>
      <c r="E6" s="29" t="s">
        <v>14</v>
      </c>
      <c r="F6" s="29" t="s">
        <v>15</v>
      </c>
      <c r="G6" s="29" t="s">
        <v>16</v>
      </c>
    </row>
    <row r="7" spans="2:9" ht="51">
      <c r="B7" s="32" t="s">
        <v>47</v>
      </c>
      <c r="C7" s="28" t="s">
        <v>44</v>
      </c>
      <c r="D7" s="144">
        <v>61600000</v>
      </c>
      <c r="E7" s="144">
        <v>1425000</v>
      </c>
      <c r="F7" s="144">
        <v>71250</v>
      </c>
      <c r="G7" s="145">
        <f>SUM(E7:F7)</f>
        <v>1496250</v>
      </c>
    </row>
    <row r="8" spans="2:9" ht="15.75" thickBot="1">
      <c r="B8" s="171"/>
      <c r="C8" s="27"/>
      <c r="D8" s="175"/>
      <c r="E8" s="175"/>
      <c r="F8" s="175"/>
      <c r="G8" s="175"/>
      <c r="H8" s="175"/>
    </row>
    <row r="9" spans="2:9" ht="51">
      <c r="B9" s="33" t="s">
        <v>115</v>
      </c>
      <c r="C9" s="172" t="s">
        <v>75</v>
      </c>
      <c r="D9" s="146">
        <v>9870000</v>
      </c>
      <c r="E9" s="146">
        <v>9870000</v>
      </c>
      <c r="F9" s="146">
        <v>9346700</v>
      </c>
      <c r="G9" s="147">
        <f>SUM(E9:F9)</f>
        <v>19216700</v>
      </c>
    </row>
    <row r="10" spans="2:9" ht="15.75" thickBot="1">
      <c r="B10" s="171"/>
      <c r="C10" s="171"/>
      <c r="D10" s="34"/>
      <c r="E10" s="33"/>
      <c r="F10" s="34"/>
      <c r="G10" s="34"/>
    </row>
    <row r="11" spans="2:9" ht="52.9" customHeight="1">
      <c r="B11" s="33" t="s">
        <v>113</v>
      </c>
      <c r="C11" s="28" t="s">
        <v>76</v>
      </c>
      <c r="D11" s="174">
        <v>58015000</v>
      </c>
      <c r="E11" s="174">
        <v>56400000</v>
      </c>
      <c r="F11" s="174">
        <v>17713084</v>
      </c>
      <c r="G11" s="176">
        <f>SUM(E11:F11)</f>
        <v>74113084</v>
      </c>
    </row>
    <row r="12" spans="2:9" ht="6" customHeight="1" thickBot="1">
      <c r="B12" s="171"/>
      <c r="C12" s="171"/>
      <c r="D12" s="171"/>
      <c r="E12" s="171"/>
      <c r="F12" s="171"/>
      <c r="G12" s="171"/>
    </row>
    <row r="13" spans="2:9" ht="38.25">
      <c r="B13" s="33" t="s">
        <v>118</v>
      </c>
      <c r="C13" s="172" t="s">
        <v>116</v>
      </c>
      <c r="D13" s="174">
        <v>151650345</v>
      </c>
      <c r="E13" s="174">
        <v>151650345</v>
      </c>
      <c r="F13" s="174">
        <v>193520355</v>
      </c>
      <c r="G13" s="176">
        <f>SUM(E13:F13)</f>
        <v>345170700</v>
      </c>
    </row>
    <row r="14" spans="2:9" ht="18.75" customHeight="1" thickBot="1">
      <c r="B14" s="171"/>
      <c r="C14" s="171"/>
      <c r="D14" s="171"/>
      <c r="E14" s="171"/>
      <c r="F14" s="171"/>
      <c r="G14" s="171"/>
      <c r="H14" s="34"/>
      <c r="I14" s="34"/>
    </row>
    <row r="15" spans="2:9" ht="18.75" hidden="1" customHeight="1" thickBot="1">
      <c r="B15" s="171"/>
      <c r="C15" s="171"/>
      <c r="D15" s="171"/>
      <c r="E15" s="171"/>
      <c r="F15" s="171"/>
      <c r="G15" s="171"/>
      <c r="H15" s="218"/>
      <c r="I15" s="218"/>
    </row>
    <row r="16" spans="2:9" ht="51">
      <c r="B16" s="33" t="s">
        <v>119</v>
      </c>
      <c r="C16" s="172" t="s">
        <v>117</v>
      </c>
      <c r="D16" s="174">
        <v>63884707</v>
      </c>
      <c r="E16" s="174">
        <v>63884707</v>
      </c>
      <c r="F16" s="174">
        <v>90108993</v>
      </c>
      <c r="G16" s="176">
        <f>SUM(E16:F16)</f>
        <v>153993700</v>
      </c>
    </row>
    <row r="17" spans="2:7" ht="2.25" customHeight="1">
      <c r="B17" s="33"/>
      <c r="C17" s="28"/>
      <c r="D17" s="146"/>
      <c r="E17" s="146"/>
      <c r="F17" s="146"/>
      <c r="G17" s="147"/>
    </row>
    <row r="18" spans="2:7" ht="7.5" customHeight="1">
      <c r="B18" s="219"/>
      <c r="C18" s="220"/>
      <c r="D18" s="219"/>
      <c r="E18" s="220"/>
      <c r="F18" s="219"/>
      <c r="G18" s="220"/>
    </row>
    <row r="19" spans="2:7">
      <c r="B19" s="221"/>
      <c r="C19" s="28"/>
      <c r="D19" s="146"/>
      <c r="E19" s="146"/>
      <c r="F19" s="146"/>
      <c r="G19" s="147"/>
    </row>
    <row r="20" spans="2:7">
      <c r="B20" s="33"/>
      <c r="C20" s="28"/>
      <c r="D20" s="146"/>
      <c r="E20" s="146"/>
      <c r="F20" s="146"/>
      <c r="G20" s="147"/>
    </row>
    <row r="21" spans="2:7" ht="7.9" customHeight="1" thickBot="1">
      <c r="C21" s="28"/>
      <c r="D21" s="35"/>
      <c r="E21" s="35"/>
      <c r="F21" s="35"/>
      <c r="G21" s="36"/>
    </row>
    <row r="22" spans="2:7" s="14" customFormat="1" ht="20.25" customHeight="1" thickBot="1">
      <c r="B22" s="30" t="s">
        <v>16</v>
      </c>
      <c r="C22" s="108"/>
      <c r="D22" s="31">
        <f>SUM(D7:D21)</f>
        <v>345020052</v>
      </c>
      <c r="E22" s="31">
        <f>SUM(E7:E21)</f>
        <v>283230052</v>
      </c>
      <c r="F22" s="31">
        <f>SUM(F7:F21)</f>
        <v>310760382</v>
      </c>
      <c r="G22" s="31">
        <f>SUM(G7:G21)</f>
        <v>593990434</v>
      </c>
    </row>
    <row r="23" spans="2:7" s="14" customFormat="1" ht="64.5" thickBot="1">
      <c r="B23" s="173" t="s">
        <v>120</v>
      </c>
      <c r="C23" s="173"/>
    </row>
    <row r="24" spans="2:7" s="14" customFormat="1" ht="49.5" customHeight="1" thickBot="1">
      <c r="B24" s="173" t="s">
        <v>121</v>
      </c>
      <c r="C24" s="37" t="s">
        <v>122</v>
      </c>
      <c r="D24" s="39">
        <v>881525</v>
      </c>
      <c r="E24" s="39">
        <f>D24</f>
        <v>881525</v>
      </c>
      <c r="F24" s="39">
        <f>D24</f>
        <v>881525</v>
      </c>
      <c r="G24" s="39">
        <v>888367</v>
      </c>
    </row>
    <row r="25" spans="2:7" s="14" customFormat="1">
      <c r="C25" s="38" t="s">
        <v>43</v>
      </c>
      <c r="D25" s="40">
        <f>D22/D24</f>
        <v>391.38997986443945</v>
      </c>
      <c r="E25" s="40">
        <f>E22/E24</f>
        <v>321.29554124953916</v>
      </c>
      <c r="F25" s="40">
        <f>F22/F24</f>
        <v>352.52588639006268</v>
      </c>
      <c r="G25" s="40">
        <f>G22/G24</f>
        <v>668.63180870068334</v>
      </c>
    </row>
    <row r="26" spans="2:7" s="14" customFormat="1"/>
    <row r="27" spans="2:7" s="14" customFormat="1"/>
    <row r="28" spans="2:7" s="14" customFormat="1"/>
    <row r="29" spans="2:7" s="14" customFormat="1"/>
    <row r="30" spans="2:7" s="14" customFormat="1"/>
    <row r="31" spans="2:7" s="14" customFormat="1"/>
    <row r="32" spans="2:7" s="14" customFormat="1"/>
    <row r="33" s="14" customFormat="1"/>
    <row r="34" s="14" customFormat="1"/>
    <row r="35" s="14" customFormat="1"/>
    <row r="36" s="14" customFormat="1"/>
    <row r="37" s="14" customFormat="1"/>
    <row r="38" s="14" customFormat="1"/>
    <row r="39" s="14" customFormat="1"/>
    <row r="40" s="14" customFormat="1"/>
    <row r="41" s="14" customFormat="1"/>
    <row r="42" s="14" customFormat="1"/>
    <row r="43" s="14" customFormat="1"/>
    <row r="44" s="14" customFormat="1"/>
    <row r="45" s="14" customFormat="1"/>
    <row r="46" s="14" customFormat="1"/>
    <row r="47" s="14" customFormat="1"/>
    <row r="48" s="14" customFormat="1"/>
    <row r="49" s="14" customFormat="1"/>
    <row r="50" s="14" customFormat="1"/>
    <row r="51" s="14" customFormat="1"/>
    <row r="52" s="14" customFormat="1"/>
    <row r="53" s="14" customFormat="1"/>
    <row r="54" s="14" customFormat="1"/>
    <row r="55" s="14" customFormat="1"/>
    <row r="56" s="14" customFormat="1"/>
    <row r="57" s="14" customFormat="1"/>
    <row r="58" s="14" customFormat="1"/>
    <row r="59" s="14" customFormat="1"/>
    <row r="60" s="14" customFormat="1"/>
    <row r="61" s="14" customFormat="1"/>
    <row r="62" s="14" customFormat="1"/>
    <row r="63" s="14" customFormat="1"/>
    <row r="64" s="14" customFormat="1"/>
    <row r="65" s="14" customFormat="1"/>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row r="94" s="14" customFormat="1"/>
    <row r="95" s="14" customFormat="1"/>
    <row r="96" s="14" customFormat="1"/>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row r="111" s="14" customFormat="1"/>
    <row r="112"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row r="129" s="14" customFormat="1"/>
    <row r="130" s="14" customFormat="1"/>
    <row r="131" s="14" customFormat="1"/>
    <row r="132" s="14" customFormat="1"/>
    <row r="133" s="14" customFormat="1"/>
    <row r="134" s="14" customFormat="1"/>
    <row r="135" s="14" customFormat="1"/>
    <row r="136" s="14" customFormat="1"/>
    <row r="137" s="14" customFormat="1"/>
    <row r="138" s="14" customFormat="1"/>
    <row r="139" s="14" customFormat="1"/>
    <row r="140" s="14" customFormat="1"/>
    <row r="141" s="14" customFormat="1"/>
    <row r="142" s="14" customFormat="1"/>
    <row r="143" s="14" customFormat="1"/>
    <row r="144" s="14" customFormat="1"/>
    <row r="145" s="14" customFormat="1"/>
    <row r="146" s="14" customFormat="1"/>
    <row r="147" s="14" customFormat="1"/>
    <row r="148" s="14" customFormat="1"/>
    <row r="149" s="14" customFormat="1"/>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row r="193" s="14" customFormat="1"/>
    <row r="194" s="14" customFormat="1"/>
  </sheetData>
  <mergeCells count="8">
    <mergeCell ref="B1:G1"/>
    <mergeCell ref="B4:G4"/>
    <mergeCell ref="B5:B6"/>
    <mergeCell ref="C5:C6"/>
    <mergeCell ref="D5:D6"/>
    <mergeCell ref="E5:G5"/>
    <mergeCell ref="B2:G2"/>
    <mergeCell ref="B3:G3"/>
  </mergeCells>
  <pageMargins left="0.7" right="0.7" top="0.75" bottom="0.75" header="0.3" footer="0.3"/>
  <pageSetup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9EE17-ACB8-4298-9F83-6F1DE89AEDFA}">
  <dimension ref="A3:K13"/>
  <sheetViews>
    <sheetView zoomScaleNormal="100" workbookViewId="0">
      <selection activeCell="P10" sqref="P10"/>
    </sheetView>
  </sheetViews>
  <sheetFormatPr defaultColWidth="9.140625" defaultRowHeight="15"/>
  <cols>
    <col min="2" max="2" width="15.85546875" bestFit="1" customWidth="1"/>
  </cols>
  <sheetData>
    <row r="3" spans="1:11">
      <c r="A3" s="118" t="s">
        <v>46</v>
      </c>
      <c r="B3" s="142" t="s">
        <v>62</v>
      </c>
    </row>
    <row r="4" spans="1:11">
      <c r="A4">
        <v>2018</v>
      </c>
      <c r="B4" s="143">
        <v>75960000</v>
      </c>
      <c r="J4" s="148"/>
      <c r="K4" s="149"/>
    </row>
    <row r="5" spans="1:11">
      <c r="A5">
        <v>2019</v>
      </c>
      <c r="B5" s="143">
        <v>74740000</v>
      </c>
      <c r="J5" s="148"/>
      <c r="K5" s="149"/>
    </row>
    <row r="6" spans="1:11">
      <c r="A6">
        <v>2020</v>
      </c>
      <c r="B6" s="143">
        <v>91975000</v>
      </c>
      <c r="J6" s="148"/>
      <c r="K6" s="149"/>
    </row>
    <row r="7" spans="1:11">
      <c r="A7">
        <v>2021</v>
      </c>
      <c r="B7" s="143">
        <v>93242510</v>
      </c>
      <c r="J7" s="148"/>
      <c r="K7" s="149"/>
    </row>
    <row r="8" spans="1:11">
      <c r="A8">
        <v>2022</v>
      </c>
      <c r="B8" s="143">
        <v>283230052</v>
      </c>
      <c r="J8" s="148"/>
      <c r="K8" s="149"/>
    </row>
    <row r="13" spans="1:11">
      <c r="B13" s="143"/>
    </row>
  </sheetData>
  <printOptions horizontalCentered="1"/>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BBE21-014A-4EF8-8C0F-75AF30186EE8}">
  <dimension ref="A1:J16"/>
  <sheetViews>
    <sheetView workbookViewId="0">
      <selection activeCell="M11" sqref="M11"/>
    </sheetView>
  </sheetViews>
  <sheetFormatPr defaultColWidth="9.140625" defaultRowHeight="15"/>
  <cols>
    <col min="1" max="1" width="9.42578125" bestFit="1" customWidth="1"/>
    <col min="2" max="2" width="17.7109375" style="131" customWidth="1"/>
    <col min="3" max="3" width="10.5703125" style="131" bestFit="1" customWidth="1"/>
    <col min="4" max="4" width="21.28515625" style="132" bestFit="1" customWidth="1"/>
    <col min="5" max="5" width="18.85546875" style="131" bestFit="1" customWidth="1"/>
    <col min="6" max="6" width="3.7109375" customWidth="1"/>
    <col min="7" max="7" width="17.42578125" bestFit="1" customWidth="1"/>
    <col min="8" max="8" width="36.5703125" bestFit="1" customWidth="1"/>
    <col min="9" max="9" width="12.5703125" bestFit="1" customWidth="1"/>
    <col min="10" max="10" width="11.5703125" bestFit="1" customWidth="1"/>
  </cols>
  <sheetData>
    <row r="1" spans="1:10" ht="45">
      <c r="A1" s="118" t="s">
        <v>46</v>
      </c>
      <c r="B1" s="118" t="s">
        <v>56</v>
      </c>
      <c r="C1" s="118" t="s">
        <v>57</v>
      </c>
      <c r="D1" s="118" t="s">
        <v>114</v>
      </c>
      <c r="E1" s="118" t="s">
        <v>58</v>
      </c>
      <c r="G1" s="118"/>
    </row>
    <row r="2" spans="1:10">
      <c r="A2">
        <v>2018</v>
      </c>
      <c r="B2" s="119">
        <v>88.09</v>
      </c>
      <c r="C2" s="120">
        <v>862298</v>
      </c>
      <c r="D2" s="127">
        <v>1.1100000000000001</v>
      </c>
      <c r="E2" s="122">
        <f>B2*D2</f>
        <v>97.779900000000012</v>
      </c>
      <c r="G2" s="123"/>
      <c r="H2" s="124"/>
      <c r="I2" s="125"/>
      <c r="J2" s="126"/>
    </row>
    <row r="3" spans="1:10">
      <c r="A3">
        <v>2019</v>
      </c>
      <c r="B3" s="119">
        <v>86.04</v>
      </c>
      <c r="C3" s="120">
        <v>868707</v>
      </c>
      <c r="D3" s="127">
        <v>1.08</v>
      </c>
      <c r="E3" s="122">
        <f t="shared" ref="E3:E5" si="0">B3*D3</f>
        <v>92.923200000000008</v>
      </c>
      <c r="G3" s="123"/>
      <c r="H3" s="124"/>
      <c r="I3" s="125"/>
    </row>
    <row r="4" spans="1:10">
      <c r="A4">
        <v>2020</v>
      </c>
      <c r="B4" s="119">
        <v>105.1</v>
      </c>
      <c r="C4" s="120">
        <v>875116</v>
      </c>
      <c r="D4" s="127">
        <v>1.08</v>
      </c>
      <c r="E4" s="122">
        <f t="shared" si="0"/>
        <v>113.508</v>
      </c>
      <c r="G4" s="123"/>
      <c r="H4" s="124"/>
      <c r="I4" s="125"/>
    </row>
    <row r="5" spans="1:10">
      <c r="A5">
        <v>2021</v>
      </c>
      <c r="B5" s="119">
        <v>101.94</v>
      </c>
      <c r="C5" s="120">
        <v>881525</v>
      </c>
      <c r="D5" s="127">
        <v>1.07</v>
      </c>
      <c r="E5" s="122">
        <f t="shared" si="0"/>
        <v>109.0758</v>
      </c>
      <c r="G5" s="121"/>
      <c r="H5" s="128"/>
      <c r="I5" s="129"/>
    </row>
    <row r="6" spans="1:10">
      <c r="A6">
        <v>2022</v>
      </c>
      <c r="B6" s="119">
        <v>318.82</v>
      </c>
      <c r="C6" s="120">
        <v>888367</v>
      </c>
      <c r="D6" s="127">
        <v>1.0900000000000001</v>
      </c>
      <c r="E6" s="122">
        <f t="shared" ref="E6" si="1">B6*D6</f>
        <v>347.5138</v>
      </c>
      <c r="F6" s="122"/>
      <c r="G6" s="127"/>
      <c r="H6" s="130"/>
    </row>
    <row r="8" spans="1:10" ht="29.45" customHeight="1">
      <c r="A8" s="249" t="s">
        <v>59</v>
      </c>
      <c r="B8" s="249"/>
      <c r="C8" s="249"/>
      <c r="D8" s="249"/>
      <c r="E8" s="249"/>
    </row>
    <row r="9" spans="1:10">
      <c r="A9" t="s">
        <v>60</v>
      </c>
    </row>
    <row r="10" spans="1:10">
      <c r="A10" t="s">
        <v>61</v>
      </c>
      <c r="B10" s="133"/>
      <c r="C10" s="134"/>
      <c r="D10" s="135"/>
      <c r="G10" s="136"/>
    </row>
    <row r="11" spans="1:10">
      <c r="B11" s="133"/>
      <c r="C11" s="134"/>
      <c r="D11" s="135"/>
      <c r="G11" s="126"/>
      <c r="I11" s="137"/>
    </row>
    <row r="12" spans="1:10">
      <c r="B12" s="133"/>
      <c r="C12" s="134"/>
      <c r="D12" s="135"/>
      <c r="G12" s="136"/>
    </row>
    <row r="13" spans="1:10">
      <c r="B13" s="133"/>
      <c r="C13" s="134"/>
      <c r="D13" s="135"/>
      <c r="E13" s="138"/>
      <c r="G13" s="139"/>
      <c r="I13" s="140"/>
    </row>
    <row r="14" spans="1:10">
      <c r="B14" s="133"/>
      <c r="C14" s="134"/>
      <c r="G14" s="137"/>
    </row>
    <row r="15" spans="1:10">
      <c r="G15" s="141"/>
    </row>
    <row r="16" spans="1:10">
      <c r="G16" s="139"/>
    </row>
  </sheetData>
  <mergeCells count="1">
    <mergeCell ref="A8:E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Aggregate</vt:lpstr>
      <vt:lpstr>Aggregate History</vt:lpstr>
      <vt:lpstr>FY 2022 Bonds </vt:lpstr>
      <vt:lpstr>Rev Debt</vt:lpstr>
      <vt:lpstr>Rev Debt - Maturity</vt:lpstr>
      <vt:lpstr>Rev Debt - Proceeds</vt:lpstr>
      <vt:lpstr>Outstanding debt</vt:lpstr>
      <vt:lpstr>CPI Index Data</vt:lpstr>
      <vt:lpstr>Aggregate!Print_Area</vt:lpstr>
      <vt:lpstr>'Aggregate History'!Print_Area</vt:lpstr>
      <vt:lpstr>'CPI Index Data'!Print_Area</vt:lpstr>
      <vt:lpstr>'FY 2022 Bonds '!Print_Area</vt:lpstr>
      <vt:lpstr>'Rev Debt'!Print_Area</vt:lpstr>
      <vt:lpstr>'Rev Debt - Maturity'!Print_Area</vt:lpstr>
      <vt:lpstr>'Rev Debt - Proceeds'!Print_Area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Castillo</dc:creator>
  <cp:lastModifiedBy>Ascencion Alonzo</cp:lastModifiedBy>
  <cp:lastPrinted>2023-08-22T15:28:24Z</cp:lastPrinted>
  <dcterms:created xsi:type="dcterms:W3CDTF">2017-02-02T17:22:07Z</dcterms:created>
  <dcterms:modified xsi:type="dcterms:W3CDTF">2023-08-22T15:35:22Z</dcterms:modified>
</cp:coreProperties>
</file>